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defaultThemeVersion="166925"/>
  <mc:AlternateContent xmlns:mc="http://schemas.openxmlformats.org/markup-compatibility/2006">
    <mc:Choice Requires="x15">
      <x15ac:absPath xmlns:x15ac="http://schemas.microsoft.com/office/spreadsheetml/2010/11/ac" url="/Users/dorien/Desktop/"/>
    </mc:Choice>
  </mc:AlternateContent>
  <xr:revisionPtr revIDLastSave="0" documentId="13_ncr:1_{C021EB28-F6E9-AB44-B7BF-42698B5C1F92}" xr6:coauthVersionLast="47" xr6:coauthVersionMax="47" xr10:uidLastSave="{00000000-0000-0000-0000-000000000000}"/>
  <workbookProtection workbookAlgorithmName="SHA-512" workbookHashValue="mpuPpdy6ZCsfaIoacPAuqCNDsohbvw1XLUJSnn/vyOcugY72y3gU5Zu1zf30hugY7DSUoTkhDVqEQQhVRCTINw==" workbookSaltValue="7pSA068nMlmN4EcYwlA2Tg==" workbookSpinCount="100000" lockStructure="1"/>
  <bookViews>
    <workbookView xWindow="24820" yWindow="2640" windowWidth="23260" windowHeight="12460" xr2:uid="{08DDDC66-EF03-4A08-80B0-573891391CAC}"/>
  </bookViews>
  <sheets>
    <sheet name="Uitleg " sheetId="3" r:id="rId1"/>
    <sheet name="Input" sheetId="1" r:id="rId2"/>
    <sheet name="Resultaat - Omvang collectie" sheetId="4" r:id="rId3"/>
    <sheet name="Resultaat - Budget" sheetId="2" r:id="rId4"/>
    <sheet name="Resultaat - Kastenplan Banden" sheetId="7" r:id="rId5"/>
    <sheet name="Resulaat - Kastenplan Budget" sheetId="8" r:id="rId6"/>
    <sheet name="gegevens" sheetId="5" state="hidden"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3" i="8" l="1"/>
  <c r="F13" i="8"/>
  <c r="L13" i="8"/>
  <c r="J13" i="8"/>
  <c r="H12" i="8"/>
  <c r="F12" i="8"/>
  <c r="L12" i="8"/>
  <c r="J12" i="8"/>
  <c r="H11" i="8"/>
  <c r="F11" i="8"/>
  <c r="L11" i="8"/>
  <c r="J11" i="8"/>
  <c r="H10" i="8"/>
  <c r="F10" i="8"/>
  <c r="L10" i="8"/>
  <c r="J10" i="8"/>
  <c r="H6" i="8"/>
  <c r="F6" i="8"/>
  <c r="L6" i="8"/>
  <c r="J6" i="8"/>
  <c r="H5" i="8"/>
  <c r="F5" i="8"/>
  <c r="L5" i="8"/>
  <c r="J5" i="8"/>
  <c r="H4" i="8"/>
  <c r="F4" i="8"/>
  <c r="L4" i="8"/>
  <c r="J4" i="8"/>
  <c r="H13" i="7"/>
  <c r="F13" i="7"/>
  <c r="L13" i="7"/>
  <c r="J13" i="7"/>
  <c r="H12" i="7"/>
  <c r="F12" i="7"/>
  <c r="L12" i="7"/>
  <c r="J12" i="7"/>
  <c r="H11" i="7"/>
  <c r="F11" i="7"/>
  <c r="L11" i="7"/>
  <c r="J11" i="7"/>
  <c r="H10" i="7"/>
  <c r="F10" i="7"/>
  <c r="L10" i="7"/>
  <c r="J10" i="7"/>
  <c r="H6" i="7"/>
  <c r="F6" i="7"/>
  <c r="L6" i="7"/>
  <c r="J6" i="7"/>
  <c r="H5" i="7"/>
  <c r="F5" i="7"/>
  <c r="L5" i="7"/>
  <c r="J5" i="7"/>
  <c r="H4" i="7"/>
  <c r="F4" i="7"/>
  <c r="L4" i="7"/>
  <c r="J4" i="7"/>
  <c r="B3" i="4" l="1"/>
  <c r="E16" i="4" l="1"/>
  <c r="C16" i="4"/>
  <c r="C3" i="4" s="1"/>
  <c r="C4" i="7" s="1"/>
  <c r="D4" i="7" s="1"/>
  <c r="D15" i="4"/>
  <c r="B15" i="4"/>
  <c r="D14" i="4"/>
  <c r="B14" i="4"/>
  <c r="D13" i="4"/>
  <c r="B13" i="4"/>
  <c r="D12" i="4"/>
  <c r="B12" i="4"/>
  <c r="D11" i="4"/>
  <c r="B11" i="4"/>
  <c r="D10" i="4"/>
  <c r="B10" i="4"/>
  <c r="D9" i="4"/>
  <c r="B9" i="4"/>
  <c r="D8" i="4"/>
  <c r="B8" i="4"/>
  <c r="D7" i="4"/>
  <c r="B7" i="4"/>
  <c r="D6" i="4"/>
  <c r="B6" i="4"/>
  <c r="D5" i="4"/>
  <c r="B5" i="4"/>
  <c r="D4" i="4"/>
  <c r="B4" i="4"/>
  <c r="D3" i="4"/>
  <c r="K4" i="7" l="1"/>
  <c r="E4" i="7"/>
  <c r="M4" i="7"/>
  <c r="G4" i="7"/>
  <c r="I4" i="7"/>
  <c r="C8" i="4"/>
  <c r="C6" i="4"/>
  <c r="E6" i="4" s="1"/>
  <c r="C12" i="4"/>
  <c r="E12" i="4" s="1"/>
  <c r="G12" i="4" s="1"/>
  <c r="C10" i="4"/>
  <c r="C14" i="4"/>
  <c r="E14" i="4" s="1"/>
  <c r="G14" i="4" s="1"/>
  <c r="C5" i="4"/>
  <c r="E5" i="4" s="1"/>
  <c r="G5" i="4" s="1"/>
  <c r="C7" i="4"/>
  <c r="C9" i="4"/>
  <c r="C11" i="4"/>
  <c r="E11" i="4" s="1"/>
  <c r="G11" i="4" s="1"/>
  <c r="C13" i="4"/>
  <c r="E13" i="4" s="1"/>
  <c r="G13" i="4" s="1"/>
  <c r="C15" i="4"/>
  <c r="B16" i="4"/>
  <c r="C4" i="4"/>
  <c r="E3" i="4"/>
  <c r="G3" i="4" s="1"/>
  <c r="F26" i="1"/>
  <c r="G6" i="4" l="1"/>
  <c r="C18" i="7"/>
  <c r="E15" i="4"/>
  <c r="G15" i="4" s="1"/>
  <c r="C13" i="7"/>
  <c r="D13" i="7" s="1"/>
  <c r="E7" i="4"/>
  <c r="G7" i="4" s="1"/>
  <c r="C5" i="7"/>
  <c r="D5" i="7" s="1"/>
  <c r="E4" i="4"/>
  <c r="G4" i="4" s="1"/>
  <c r="C6" i="7"/>
  <c r="D6" i="7" s="1"/>
  <c r="E8" i="4"/>
  <c r="G8" i="4" s="1"/>
  <c r="C10" i="7"/>
  <c r="D10" i="7" s="1"/>
  <c r="E9" i="4"/>
  <c r="G9" i="4" s="1"/>
  <c r="C11" i="7"/>
  <c r="D11" i="7" s="1"/>
  <c r="O4" i="7"/>
  <c r="N4" i="7"/>
  <c r="E10" i="4"/>
  <c r="G10" i="4" s="1"/>
  <c r="C12" i="7"/>
  <c r="D12" i="7" s="1"/>
  <c r="B4" i="2"/>
  <c r="B5" i="2"/>
  <c r="B6" i="2"/>
  <c r="B7" i="2"/>
  <c r="B8" i="2"/>
  <c r="B9" i="2"/>
  <c r="B10" i="2"/>
  <c r="B11" i="2"/>
  <c r="B12" i="2"/>
  <c r="B13" i="2"/>
  <c r="B14" i="2"/>
  <c r="B15" i="2"/>
  <c r="B3" i="2"/>
  <c r="D18" i="7" l="1"/>
  <c r="D19" i="7" s="1"/>
  <c r="C19" i="7"/>
  <c r="C20" i="7" s="1"/>
  <c r="D7" i="7"/>
  <c r="G16" i="4"/>
  <c r="I6" i="7"/>
  <c r="M6" i="7"/>
  <c r="K6" i="7"/>
  <c r="G6" i="7"/>
  <c r="E6" i="7"/>
  <c r="E11" i="7"/>
  <c r="I11" i="7"/>
  <c r="M11" i="7"/>
  <c r="G11" i="7"/>
  <c r="K11" i="7"/>
  <c r="E10" i="7"/>
  <c r="D14" i="7"/>
  <c r="I10" i="7"/>
  <c r="M10" i="7"/>
  <c r="G10" i="7"/>
  <c r="K10" i="7"/>
  <c r="G5" i="7"/>
  <c r="I5" i="7"/>
  <c r="K5" i="7"/>
  <c r="E5" i="7"/>
  <c r="M5" i="7"/>
  <c r="E12" i="7"/>
  <c r="M12" i="7"/>
  <c r="K12" i="7"/>
  <c r="I12" i="7"/>
  <c r="G12" i="7"/>
  <c r="E13" i="7"/>
  <c r="K13" i="7"/>
  <c r="I13" i="7"/>
  <c r="M13" i="7"/>
  <c r="G13" i="7"/>
  <c r="B16" i="2"/>
  <c r="C16" i="2"/>
  <c r="C8" i="2" s="1"/>
  <c r="E8" i="2" s="1"/>
  <c r="C10" i="8" s="1"/>
  <c r="E26" i="1"/>
  <c r="D26" i="1"/>
  <c r="C26" i="1"/>
  <c r="B26" i="1"/>
  <c r="D10" i="8" l="1"/>
  <c r="G10" i="8" s="1"/>
  <c r="D20" i="7"/>
  <c r="K7" i="7"/>
  <c r="G7" i="7"/>
  <c r="I7" i="7"/>
  <c r="D15" i="7"/>
  <c r="M7" i="7"/>
  <c r="I14" i="7"/>
  <c r="G14" i="7"/>
  <c r="K14" i="7"/>
  <c r="M14" i="7"/>
  <c r="N10" i="7"/>
  <c r="O10" i="7"/>
  <c r="N12" i="7"/>
  <c r="O12" i="7"/>
  <c r="O5" i="7"/>
  <c r="N5" i="7"/>
  <c r="O11" i="7"/>
  <c r="N11" i="7"/>
  <c r="O6" i="7"/>
  <c r="N6" i="7"/>
  <c r="N13" i="7"/>
  <c r="O13" i="7"/>
  <c r="C9" i="2"/>
  <c r="E9" i="2" s="1"/>
  <c r="C11" i="8" s="1"/>
  <c r="D11" i="8" s="1"/>
  <c r="C5" i="2"/>
  <c r="E5" i="2" s="1"/>
  <c r="C6" i="2"/>
  <c r="E6" i="2" s="1"/>
  <c r="C18" i="8" s="1"/>
  <c r="C10" i="2"/>
  <c r="E10" i="2" s="1"/>
  <c r="C4" i="2"/>
  <c r="E4" i="2" s="1"/>
  <c r="C7" i="2"/>
  <c r="E7" i="2" s="1"/>
  <c r="C5" i="8" s="1"/>
  <c r="D5" i="8" s="1"/>
  <c r="C15" i="2"/>
  <c r="E15" i="2" s="1"/>
  <c r="C14" i="2"/>
  <c r="E14" i="2" s="1"/>
  <c r="C11" i="2"/>
  <c r="E11" i="2" s="1"/>
  <c r="C3" i="2"/>
  <c r="E3" i="2" s="1"/>
  <c r="C4" i="8" s="1"/>
  <c r="C13" i="2"/>
  <c r="E13" i="2" s="1"/>
  <c r="C12" i="2"/>
  <c r="E12" i="2" s="1"/>
  <c r="K10" i="8" l="1"/>
  <c r="M10" i="8"/>
  <c r="E10" i="8"/>
  <c r="N10" i="8" s="1"/>
  <c r="I10" i="8"/>
  <c r="C19" i="8"/>
  <c r="D18" i="8"/>
  <c r="D19" i="8" s="1"/>
  <c r="C13" i="8"/>
  <c r="D13" i="8" s="1"/>
  <c r="D4" i="8"/>
  <c r="E4" i="8" s="1"/>
  <c r="C12" i="8"/>
  <c r="D12" i="8" s="1"/>
  <c r="I12" i="8" s="1"/>
  <c r="K15" i="7"/>
  <c r="I11" i="8"/>
  <c r="G11" i="8"/>
  <c r="M11" i="8"/>
  <c r="E11" i="8"/>
  <c r="K11" i="8"/>
  <c r="E5" i="8"/>
  <c r="M5" i="8"/>
  <c r="G5" i="8"/>
  <c r="K5" i="8"/>
  <c r="I5" i="8"/>
  <c r="C6" i="8"/>
  <c r="D6" i="8" s="1"/>
  <c r="G15" i="7"/>
  <c r="M15" i="7"/>
  <c r="I15" i="7"/>
  <c r="N14" i="7"/>
  <c r="O14" i="7"/>
  <c r="N7" i="7"/>
  <c r="O7" i="7"/>
  <c r="E16" i="2"/>
  <c r="I4" i="8" l="1"/>
  <c r="C14" i="8"/>
  <c r="O10" i="8"/>
  <c r="M4" i="8"/>
  <c r="G13" i="8"/>
  <c r="K13" i="8"/>
  <c r="I13" i="8"/>
  <c r="I14" i="8" s="1"/>
  <c r="E13" i="8"/>
  <c r="N13" i="8" s="1"/>
  <c r="M13" i="8"/>
  <c r="C7" i="8"/>
  <c r="E12" i="8"/>
  <c r="O12" i="8" s="1"/>
  <c r="G12" i="8"/>
  <c r="D7" i="8"/>
  <c r="K4" i="8"/>
  <c r="K12" i="8"/>
  <c r="K14" i="8" s="1"/>
  <c r="M12" i="8"/>
  <c r="D14" i="8"/>
  <c r="G4" i="8"/>
  <c r="E6" i="8"/>
  <c r="M6" i="8"/>
  <c r="K6" i="8"/>
  <c r="I6" i="8"/>
  <c r="G6" i="8"/>
  <c r="N5" i="8"/>
  <c r="O5" i="8"/>
  <c r="O4" i="8"/>
  <c r="N4" i="8"/>
  <c r="N11" i="8"/>
  <c r="O11" i="8"/>
  <c r="N15" i="7"/>
  <c r="O15" i="7"/>
  <c r="C20" i="8" l="1"/>
  <c r="M7" i="8"/>
  <c r="I7" i="8"/>
  <c r="I15" i="8" s="1"/>
  <c r="G14" i="8"/>
  <c r="M14" i="8"/>
  <c r="D15" i="8"/>
  <c r="O13" i="8"/>
  <c r="O14" i="8" s="1"/>
  <c r="K7" i="8"/>
  <c r="K15" i="8" s="1"/>
  <c r="N12" i="8"/>
  <c r="N14" i="8" s="1"/>
  <c r="G7" i="8"/>
  <c r="D20" i="8"/>
  <c r="O6" i="8"/>
  <c r="O7" i="8" s="1"/>
  <c r="N6" i="8"/>
  <c r="N7" i="8" s="1"/>
  <c r="G15" i="8" l="1"/>
  <c r="M15" i="8"/>
  <c r="O15" i="8"/>
  <c r="N15" i="8"/>
</calcChain>
</file>

<file path=xl/sharedStrings.xml><?xml version="1.0" encoding="utf-8"?>
<sst xmlns="http://schemas.openxmlformats.org/spreadsheetml/2006/main" count="191" uniqueCount="113">
  <si>
    <t>Uitleg rekenschema collectioneren vo</t>
  </si>
  <si>
    <t xml:space="preserve">In het rekenschema kunnen bij het tabblad ‘input’ een aantal variabelen worden ingevuld. Het tabblad ‘resultaat’ laat de uitkomsten zien. </t>
  </si>
  <si>
    <t>Variabelen in tabblad ‘Input’:</t>
  </si>
  <si>
    <r>
      <t>-</t>
    </r>
    <r>
      <rPr>
        <sz val="7"/>
        <color theme="1"/>
        <rFont val="Times New Roman"/>
        <family val="1"/>
      </rPr>
      <t xml:space="preserve">       </t>
    </r>
    <r>
      <rPr>
        <b/>
        <sz val="11"/>
        <color theme="1"/>
        <rFont val="Arial"/>
        <family val="2"/>
      </rPr>
      <t>Samenstelling van de schoollocatie (type onderwijs) met percentages van rubrieken/clusters</t>
    </r>
  </si>
  <si>
    <t>In het rekenmodel zijn de vier meest voorkomende vo-varianten benoemd waarvoor een collectie kan worden opgebouwd (A t/m D):</t>
  </si>
  <si>
    <r>
      <t>A.</t>
    </r>
    <r>
      <rPr>
        <sz val="7"/>
        <color theme="1"/>
        <rFont val="Times New Roman"/>
        <family val="1"/>
      </rPr>
      <t xml:space="preserve">        </t>
    </r>
    <r>
      <rPr>
        <sz val="11"/>
        <color theme="1"/>
        <rFont val="Arial"/>
        <family val="2"/>
      </rPr>
      <t>Een scholengemeenschap vmbo-havo-vwo</t>
    </r>
  </si>
  <si>
    <r>
      <t>B.</t>
    </r>
    <r>
      <rPr>
        <sz val="7"/>
        <color theme="1"/>
        <rFont val="Times New Roman"/>
        <family val="1"/>
      </rPr>
      <t xml:space="preserve">        </t>
    </r>
    <r>
      <rPr>
        <sz val="11"/>
        <color theme="1"/>
        <rFont val="Arial"/>
        <family val="2"/>
      </rPr>
      <t>Een vmbo -locatie en/of alleen onderbouw havo/vwo</t>
    </r>
  </si>
  <si>
    <r>
      <t>C.</t>
    </r>
    <r>
      <rPr>
        <sz val="7"/>
        <color theme="1"/>
        <rFont val="Times New Roman"/>
        <family val="1"/>
      </rPr>
      <t xml:space="preserve">        </t>
    </r>
    <r>
      <rPr>
        <sz val="11"/>
        <color theme="1"/>
        <rFont val="Arial"/>
        <family val="2"/>
      </rPr>
      <t>Een schoollocatie met alleen havo-vwo bovenbouw</t>
    </r>
  </si>
  <si>
    <r>
      <t>D.</t>
    </r>
    <r>
      <rPr>
        <sz val="7"/>
        <color theme="1"/>
        <rFont val="Times New Roman"/>
        <family val="1"/>
      </rPr>
      <t xml:space="preserve">        </t>
    </r>
    <r>
      <rPr>
        <sz val="11"/>
        <color theme="1"/>
        <rFont val="Arial"/>
        <family val="2"/>
      </rPr>
      <t>Een praktijkschool</t>
    </r>
  </si>
  <si>
    <t xml:space="preserve">De collectie is verdeeld in verschillende rubrieken/clusters (gerelateerd aan de Wise-catalogus). Per type school is de verdeling (het percentage) van de rubrieken/clusters voorgedefinieerd. Die percentages zijn uiteraard verschillend: een praktijkschool zal bijvoorbeeld minder volwassen fictie nodig hebben dan een havo-vvo school. </t>
  </si>
  <si>
    <t xml:space="preserve">- In de praktijk zullen gebruikers van dit rekenschema zelf veranderingen willen aanbrengen in de percentages per rubriek. Daar is een pragmatische oplossing voor bedacht: een extra kolom (E). In deze kolom E staan nog geen percentages en kan iedereen eigen gewenste percentages invullen. NB. Hierdoor is dit rekenschema ook te gebruiken voor een openbare bibliotheek die haar eigen collectie voor de doelgroep 12+ wil uitbreiden. </t>
  </si>
  <si>
    <t xml:space="preserve">In het rekenschema vul je de letter in van de variant van je keuze (en bij keuze voor kolom E ook de gewenste percentages per rubriek). </t>
  </si>
  <si>
    <t xml:space="preserve">Er zijn twee manieren om tot collectievorming te komen: </t>
  </si>
  <si>
    <t>1.      Het aantal leerlingen en het gewenst aantal boeken per leerling</t>
  </si>
  <si>
    <t>Als het aantal gewenste boeken per leerling als uitgangspunt wordt genomen, geeft een tabel in het tabblad ‘resultaat’ een overzicht van het benodigde budget per rubriek en het totaal benodigde budget. Het totaal aantal gewenste banden -en dus het nodige budget- kan naar keuze in 1 jaar worden opgebouwd of over meer jaren verdeeld.</t>
  </si>
  <si>
    <t xml:space="preserve">Omdat de situatie per bibliotheek en per school verschilt, kan het aantal gewenste banden per leerling in het rekenschema door iedereen zelf worden ingevuld. Als basis is een aantal van drie -fysieke- boeken per vo-leerling ingevuld. </t>
  </si>
  <si>
    <t xml:space="preserve">In het rekenmodel kan ook het reeds aanwezige aantal banden per rubriek worden  ingevoerd. NB Dit is het aantal banden na afschrijving. </t>
  </si>
  <si>
    <t>Uitleg</t>
  </si>
  <si>
    <t xml:space="preserve">In het voortgezet onderwijs kan minder goed dan voor het primair onderwijs worden uitgegaan van een landelijke norm of aanbeveling voor een aantal boeken per leerling. Veel hangt af van schoolbeleid, bijvoorbeeld of er veel aandacht en tijd aan vrij lezen wordt besteed en of leerlingen gebruik maken van e-books, bijvoorbeeld voor lezen voor de Lijst. Drie boeken lijken gemiddeld genomen haalbaar en voldoende, maar zijn geen landelijke norm. </t>
  </si>
  <si>
    <r>
      <t>2.</t>
    </r>
    <r>
      <rPr>
        <b/>
        <sz val="7"/>
        <color theme="1"/>
        <rFont val="Times New Roman"/>
        <family val="1"/>
      </rPr>
      <t xml:space="preserve">      </t>
    </r>
    <r>
      <rPr>
        <b/>
        <sz val="11"/>
        <color theme="1"/>
        <rFont val="Arial"/>
        <family val="2"/>
      </rPr>
      <t xml:space="preserve">Budget per jaar als uitgangspunt </t>
    </r>
  </si>
  <si>
    <t xml:space="preserve">In de praktijk zal vaak het budget het uitgangspunt zijn voor collectievorming. </t>
  </si>
  <si>
    <t xml:space="preserve">Als het budget per jaar als uitgangspunt wordt genomen, geeft een tabel in het tabblad ‘resultaat’ een overzicht van zowel het aantal boeken per rubriek als totaal aantal banden dat dat jaar besteld kan worden. </t>
  </si>
  <si>
    <t>Het totaal aantal banden dat besteld kan worden van het beschikbare budget zegt niets over het gewenst aantal banden.</t>
  </si>
  <si>
    <t>Type school</t>
  </si>
  <si>
    <t xml:space="preserve">vul de gewenste letter in die boven schooltype staat </t>
  </si>
  <si>
    <t>Aantal leerlingen</t>
  </si>
  <si>
    <t>vul dit in voor tabblad Resultaat - Omvang collectie</t>
  </si>
  <si>
    <t>Gewenste banden per leerling</t>
  </si>
  <si>
    <t>Budget</t>
  </si>
  <si>
    <t>vul dit in voor tabblad Resultaat - Budget</t>
  </si>
  <si>
    <t>A</t>
  </si>
  <si>
    <t>B</t>
  </si>
  <si>
    <t>C</t>
  </si>
  <si>
    <t>D</t>
  </si>
  <si>
    <t>E</t>
  </si>
  <si>
    <t>(alleen in te vullen bij gewenst aantal banden per leerling)</t>
  </si>
  <si>
    <t>RUBRIEKEN VO</t>
  </si>
  <si>
    <t>VMBO-HAVO-VWO</t>
  </si>
  <si>
    <t>VMBO EN/OF ONDERBOUW HAVO-VWO</t>
  </si>
  <si>
    <t>HAVO-VWO BOVENBOUW</t>
  </si>
  <si>
    <t>PRAKTIJK-ONDERWIJS</t>
  </si>
  <si>
    <t>EIGEN VERDELING</t>
  </si>
  <si>
    <t>HUIDIG BEZIT NA AFSCHRIJVING</t>
  </si>
  <si>
    <t>0001 - Volwassen fictie</t>
  </si>
  <si>
    <t>0010 - Engels</t>
  </si>
  <si>
    <t>0020 - Vreemde taal overig</t>
  </si>
  <si>
    <t xml:space="preserve">0062 - strips J en V </t>
  </si>
  <si>
    <t>0030 - Volwassen nonfictie</t>
  </si>
  <si>
    <t>0035 - B</t>
  </si>
  <si>
    <t>0040 - C</t>
  </si>
  <si>
    <t>0045 - D</t>
  </si>
  <si>
    <t>0050 - Engels B</t>
  </si>
  <si>
    <t>0055 - Engels C</t>
  </si>
  <si>
    <t>0060 - Engels D</t>
  </si>
  <si>
    <t>0065 - Overige talen</t>
  </si>
  <si>
    <t>0070 - Jeugd nonfictie</t>
  </si>
  <si>
    <t xml:space="preserve"> </t>
  </si>
  <si>
    <t>TABEL RESULTAAT VOOR GEWENST AANTAL BANDEN PER LEERLING  ALS UITGANGSPUNT</t>
  </si>
  <si>
    <t>Rubrieken</t>
  </si>
  <si>
    <t>% bezit verdeling</t>
  </si>
  <si>
    <t>Gewenst bezit</t>
  </si>
  <si>
    <t>Huidig bezit (na afschrijving, optioneel)</t>
  </si>
  <si>
    <t>Aantal aan te schaffen boeken</t>
  </si>
  <si>
    <t>Gemiddelde boekprijs</t>
  </si>
  <si>
    <t xml:space="preserve">Benodigd budget </t>
  </si>
  <si>
    <t xml:space="preserve">TOTAAL </t>
  </si>
  <si>
    <t xml:space="preserve">TABEL RESULTAAT VOOR BUDGET ALS UITGANGSPUNT </t>
  </si>
  <si>
    <t>Budget per rubriek</t>
  </si>
  <si>
    <t>Aantal boeken per rubriek</t>
  </si>
  <si>
    <r>
      <t>E.</t>
    </r>
    <r>
      <rPr>
        <sz val="7"/>
        <color theme="1"/>
        <rFont val="Times New Roman"/>
        <family val="1"/>
      </rPr>
      <t xml:space="preserve">        </t>
    </r>
    <r>
      <rPr>
        <sz val="11"/>
        <color theme="1"/>
        <rFont val="Arial"/>
        <family val="2"/>
      </rPr>
      <t>Wil je een eigen verdeling van percentages invoeren kies dan E</t>
    </r>
  </si>
  <si>
    <r>
      <t>E.</t>
    </r>
    <r>
      <rPr>
        <sz val="7"/>
        <color theme="1"/>
        <rFont val="Times New Roman"/>
        <family val="1"/>
      </rPr>
      <t xml:space="preserve">        </t>
    </r>
    <r>
      <rPr>
        <sz val="11"/>
        <color theme="1"/>
        <rFont val="Arial"/>
        <family val="2"/>
      </rPr>
      <t>Wil je een eigen verdeling invoeren kies dan voor E en vul daar zelf de gewenste percentages in</t>
    </r>
  </si>
  <si>
    <t>Kastenplan VO</t>
  </si>
  <si>
    <t>onderdeel</t>
  </si>
  <si>
    <t>aantal per plank van 1 strekkende meter</t>
  </si>
  <si>
    <t>Gepland bezit</t>
  </si>
  <si>
    <t>Aantal banden in huis</t>
  </si>
  <si>
    <t>Aantal benodigde planken lateraal*</t>
  </si>
  <si>
    <t>Per kast  eenzijdig (1 meter breed) met 3 planken lateraal en 1 plank frontplaatsing</t>
  </si>
  <si>
    <t>Per kast eenzijdig met 2 planken lateraal en 2 planken frontplaatsing</t>
  </si>
  <si>
    <t>Volwassen Fictie</t>
  </si>
  <si>
    <t>Volwassen Non Fictie</t>
  </si>
  <si>
    <t>Engels/overige talen</t>
  </si>
  <si>
    <t xml:space="preserve">Subtotaal volwassenen eenzijdig </t>
  </si>
  <si>
    <t>Jeugd</t>
  </si>
  <si>
    <t>J</t>
  </si>
  <si>
    <t>Subtotaal jeugd</t>
  </si>
  <si>
    <t xml:space="preserve">Totaal aantal kasten eenzijdig </t>
  </si>
  <si>
    <t>aantal per bak</t>
  </si>
  <si>
    <t>Totaal aantal bakken voor bezit thuis</t>
  </si>
  <si>
    <t>Strips jeugd</t>
  </si>
  <si>
    <t>*Lateraal=de boeken met de zijkanten tegen elkaar</t>
  </si>
  <si>
    <t>versiedatum</t>
  </si>
  <si>
    <t xml:space="preserve">  </t>
  </si>
  <si>
    <t>Subtotaal strips</t>
  </si>
  <si>
    <t>Totaal bezit</t>
  </si>
  <si>
    <t>Op basis van tabel voor gewenst aantal banden per leerling als uitgangspunt</t>
  </si>
  <si>
    <t>Op basis van tabel voor budget als uitgangspunt</t>
  </si>
  <si>
    <t>*Lateraal = de boeken met de zijkanten tegen elkaar</t>
  </si>
  <si>
    <t>Aantal banden per kast eenzijdig met 3 planken lateraal en 2 planken frontplaatsing</t>
  </si>
  <si>
    <t>Aantal banden per  kast  eenzijdig (1 meter breed) met 3 planken lateraal en 1 plank frontplaatsing</t>
  </si>
  <si>
    <t>Aantal kasten eenzijdig  (1 meter breed) met 3 planken lateraal en 1 plank frontplaatsing</t>
  </si>
  <si>
    <t>Aantal banden per  kast eenzijdig met 4  planken lateraal en 1 plank frontplaatsing</t>
  </si>
  <si>
    <t>Aantal kasten eenzijdig met 2 planken lateraal en 2 planken frontplaatsing</t>
  </si>
  <si>
    <t>Aantal kasten eenzijdig met 3 planken lateraal en 2 planken frontplaatsing</t>
  </si>
  <si>
    <t>Aantal kasten eenzijdig met 4  planken lateraal en 1 plank frontplaatsing</t>
  </si>
  <si>
    <t>Aantal kasten Magazijnopstelling met 4 planken lateraal</t>
  </si>
  <si>
    <t>Aantal kasten Magazijnopstelling met 5 planken lateraal</t>
  </si>
  <si>
    <t>Aantal banden per  kast eenzijdig met 2 planken lateraal en 2 planken frontplaatsing</t>
  </si>
  <si>
    <t>Aantal banden per  kast eenzijdig met 3 planken lateraal en 2 planken frontplaatsing</t>
  </si>
  <si>
    <t>3. Boekenprijs</t>
  </si>
  <si>
    <t xml:space="preserve">Let op: in de gemiddelde boekenprijs is geen NBD-korting meegenomen. Deze is afhankelijk van wie er bestelt (bibliotheek krijgt meer korting dan de school) en op welk moment (er is een grotere korting voor bestellingen in het weekaanbod dan bij bestellingen voor een startcollectie). Het is daarom slechts een indicatie. Ook is de prijs zelf aan veranderingen onderhevig. Deze is actueel per november 2024. </t>
  </si>
  <si>
    <t>4. Tijdschriften</t>
  </si>
  <si>
    <t>Er zijn goede redenen om ook een aantal tijdschriftabonnementen, passend bij de doelgroep, op te nemen in de collectie. Als je dat doet, hou hier dan rekening mee in je budget. Je neemt dan je totale budget, trekt de abonnementskosten vanaf, en vult het overgebleven budget in bij het inputveld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</si>
</sst>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quot;€&quot;\ * #,##0.00_ ;_ &quot;€&quot;\ * \-#,##0.00_ ;_ &quot;€&quot;\ * &quot;-&quot;??_ ;_ @_ "/>
    <numFmt numFmtId="165" formatCode="_ [$€-413]\ * #,##0.00_ ;_ [$€-413]\ * \-#,##0.00_ ;_ [$€-413]\ * &quot;-&quot;??_ ;_ @_ "/>
    <numFmt numFmtId="166" formatCode="0.0"/>
  </numFmts>
  <fonts count="20"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color rgb="FFFF0000"/>
      <name val="Calibri"/>
      <family val="2"/>
      <scheme val="minor"/>
    </font>
    <font>
      <sz val="11"/>
      <color rgb="FF7030A0"/>
      <name val="Calibri"/>
      <family val="2"/>
      <scheme val="minor"/>
    </font>
    <font>
      <b/>
      <sz val="11"/>
      <name val="Calibri"/>
      <family val="2"/>
      <scheme val="minor"/>
    </font>
    <font>
      <sz val="7"/>
      <color theme="1"/>
      <name val="Times New Roman"/>
      <family val="1"/>
    </font>
    <font>
      <sz val="11"/>
      <color theme="1"/>
      <name val="Arial"/>
      <family val="2"/>
    </font>
    <font>
      <b/>
      <sz val="11"/>
      <color theme="1"/>
      <name val="Arial"/>
      <family val="2"/>
    </font>
    <font>
      <b/>
      <sz val="7"/>
      <color theme="1"/>
      <name val="Times New Roman"/>
      <family val="1"/>
    </font>
    <font>
      <u/>
      <sz val="11"/>
      <color theme="1"/>
      <name val="Arial"/>
      <family val="2"/>
    </font>
    <font>
      <sz val="12"/>
      <name val="Calibri"/>
      <family val="2"/>
      <scheme val="minor"/>
    </font>
    <font>
      <b/>
      <sz val="16"/>
      <color rgb="FFFF0000"/>
      <name val="Calibri"/>
      <family val="2"/>
      <scheme val="minor"/>
    </font>
    <font>
      <sz val="16"/>
      <color theme="1"/>
      <name val="Calibri"/>
      <family val="2"/>
      <scheme val="minor"/>
    </font>
    <font>
      <b/>
      <sz val="16"/>
      <color theme="1"/>
      <name val="Calibri"/>
      <family val="2"/>
      <scheme val="minor"/>
    </font>
    <font>
      <sz val="16"/>
      <name val="Calibri"/>
      <family val="2"/>
      <scheme val="minor"/>
    </font>
    <font>
      <sz val="11"/>
      <name val="Arial"/>
      <family val="2"/>
    </font>
    <font>
      <b/>
      <sz val="11"/>
      <color rgb="FF000000"/>
      <name val="Calibri"/>
      <family val="2"/>
      <scheme val="minor"/>
    </font>
    <font>
      <b/>
      <sz val="14"/>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56">
    <xf numFmtId="0" fontId="0" fillId="0" borderId="0" xfId="0"/>
    <xf numFmtId="0" fontId="8" fillId="0" borderId="0" xfId="0" applyFont="1" applyAlignment="1">
      <alignment vertical="center"/>
    </xf>
    <xf numFmtId="0" fontId="9" fillId="0" borderId="0" xfId="0" applyFont="1" applyAlignment="1">
      <alignment vertical="center" wrapText="1"/>
    </xf>
    <xf numFmtId="0" fontId="8" fillId="0" borderId="0" xfId="0" applyFont="1" applyAlignment="1">
      <alignment vertical="center" wrapText="1"/>
    </xf>
    <xf numFmtId="0" fontId="8" fillId="0" borderId="0" xfId="0" applyFont="1" applyAlignment="1">
      <alignment horizontal="left" vertical="center"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16" fillId="0" borderId="1" xfId="0" applyFont="1" applyBorder="1" applyProtection="1">
      <protection hidden="1"/>
    </xf>
    <xf numFmtId="0" fontId="13" fillId="0" borderId="0" xfId="0" applyFont="1" applyProtection="1">
      <protection hidden="1"/>
    </xf>
    <xf numFmtId="0" fontId="14" fillId="0" borderId="0" xfId="0" applyFont="1" applyProtection="1">
      <protection hidden="1"/>
    </xf>
    <xf numFmtId="0" fontId="15" fillId="0" borderId="0" xfId="0" applyFont="1" applyProtection="1">
      <protection hidden="1"/>
    </xf>
    <xf numFmtId="0" fontId="15" fillId="0" borderId="0" xfId="0" applyFont="1" applyAlignment="1" applyProtection="1">
      <alignment wrapText="1"/>
      <protection hidden="1"/>
    </xf>
    <xf numFmtId="0" fontId="14" fillId="0" borderId="0" xfId="0" applyFont="1" applyAlignment="1" applyProtection="1">
      <alignment wrapText="1"/>
      <protection hidden="1"/>
    </xf>
    <xf numFmtId="0" fontId="16" fillId="0" borderId="0" xfId="0" applyFont="1" applyAlignment="1" applyProtection="1">
      <alignment wrapText="1"/>
      <protection hidden="1"/>
    </xf>
    <xf numFmtId="164" fontId="14" fillId="2" borderId="1" xfId="1" applyFont="1" applyFill="1" applyBorder="1" applyProtection="1">
      <protection hidden="1"/>
    </xf>
    <xf numFmtId="164" fontId="14" fillId="0" borderId="1" xfId="1" applyFont="1" applyBorder="1" applyProtection="1">
      <protection hidden="1"/>
    </xf>
    <xf numFmtId="1" fontId="14" fillId="0" borderId="1" xfId="0" applyNumberFormat="1" applyFont="1" applyBorder="1" applyProtection="1">
      <protection hidden="1"/>
    </xf>
    <xf numFmtId="0" fontId="14" fillId="0" borderId="1" xfId="0" applyFont="1" applyBorder="1" applyProtection="1">
      <protection hidden="1"/>
    </xf>
    <xf numFmtId="0" fontId="13" fillId="0" borderId="0" xfId="0" quotePrefix="1" applyFont="1" applyProtection="1">
      <protection hidden="1"/>
    </xf>
    <xf numFmtId="9" fontId="14" fillId="0" borderId="0" xfId="0" applyNumberFormat="1" applyFont="1" applyProtection="1">
      <protection hidden="1"/>
    </xf>
    <xf numFmtId="165" fontId="14" fillId="0" borderId="1" xfId="0" applyNumberFormat="1" applyFont="1" applyBorder="1" applyProtection="1">
      <protection hidden="1"/>
    </xf>
    <xf numFmtId="0" fontId="16" fillId="0" borderId="0" xfId="0" applyFont="1" applyProtection="1">
      <protection hidden="1"/>
    </xf>
    <xf numFmtId="1" fontId="14" fillId="2" borderId="1" xfId="0" applyNumberFormat="1" applyFont="1" applyFill="1" applyBorder="1" applyProtection="1">
      <protection hidden="1"/>
    </xf>
    <xf numFmtId="164" fontId="14" fillId="0" borderId="1" xfId="1" applyFont="1" applyFill="1" applyBorder="1" applyProtection="1">
      <protection hidden="1"/>
    </xf>
    <xf numFmtId="9" fontId="14" fillId="0" borderId="1" xfId="0" applyNumberFormat="1" applyFont="1" applyBorder="1" applyProtection="1">
      <protection hidden="1"/>
    </xf>
    <xf numFmtId="0" fontId="0" fillId="0" borderId="0" xfId="0" applyProtection="1">
      <protection hidden="1"/>
    </xf>
    <xf numFmtId="0" fontId="3" fillId="0" borderId="0" xfId="0" applyFont="1" applyProtection="1">
      <protection hidden="1"/>
    </xf>
    <xf numFmtId="0" fontId="4" fillId="0" borderId="0" xfId="0" applyFont="1" applyProtection="1">
      <protection hidden="1"/>
    </xf>
    <xf numFmtId="0" fontId="2" fillId="0" borderId="0" xfId="0" applyFont="1" applyProtection="1">
      <protection hidden="1"/>
    </xf>
    <xf numFmtId="0" fontId="6" fillId="0" borderId="0" xfId="0" applyFont="1" applyAlignment="1" applyProtection="1">
      <alignment wrapText="1"/>
      <protection hidden="1"/>
    </xf>
    <xf numFmtId="9" fontId="3" fillId="0" borderId="0" xfId="2" applyFont="1" applyProtection="1">
      <protection hidden="1"/>
    </xf>
    <xf numFmtId="0" fontId="6" fillId="0" borderId="0" xfId="0" applyFont="1" applyProtection="1">
      <protection hidden="1"/>
    </xf>
    <xf numFmtId="0" fontId="0" fillId="0" borderId="0" xfId="0" applyAlignment="1" applyProtection="1">
      <alignment wrapText="1"/>
      <protection hidden="1"/>
    </xf>
    <xf numFmtId="9" fontId="12" fillId="0" borderId="0" xfId="2" applyFont="1" applyProtection="1">
      <protection hidden="1"/>
    </xf>
    <xf numFmtId="0" fontId="5" fillId="0" borderId="0" xfId="0" applyFont="1" applyProtection="1">
      <protection hidden="1"/>
    </xf>
    <xf numFmtId="0" fontId="17" fillId="0" borderId="0" xfId="0" applyFont="1" applyAlignment="1">
      <alignment horizontal="left" vertical="center" wrapText="1"/>
    </xf>
    <xf numFmtId="0" fontId="2" fillId="0" borderId="0" xfId="0" applyFont="1"/>
    <xf numFmtId="0" fontId="0" fillId="0" borderId="0" xfId="0" applyAlignment="1">
      <alignment wrapText="1"/>
    </xf>
    <xf numFmtId="0" fontId="0" fillId="0" borderId="1" xfId="0" applyBorder="1"/>
    <xf numFmtId="1" fontId="0" fillId="3" borderId="1" xfId="0" applyNumberFormat="1" applyFill="1" applyBorder="1"/>
    <xf numFmtId="1" fontId="0" fillId="0" borderId="1" xfId="0" applyNumberFormat="1" applyBorder="1"/>
    <xf numFmtId="0" fontId="0" fillId="4" borderId="1" xfId="0" applyFill="1" applyBorder="1"/>
    <xf numFmtId="0" fontId="2" fillId="4" borderId="1" xfId="0" applyFont="1" applyFill="1" applyBorder="1"/>
    <xf numFmtId="1" fontId="2" fillId="4" borderId="1" xfId="0" applyNumberFormat="1" applyFont="1" applyFill="1" applyBorder="1"/>
    <xf numFmtId="166" fontId="2" fillId="0" borderId="0" xfId="0" applyNumberFormat="1" applyFont="1"/>
    <xf numFmtId="1" fontId="2" fillId="0" borderId="0" xfId="0" applyNumberFormat="1" applyFont="1"/>
    <xf numFmtId="0" fontId="18" fillId="0" borderId="0" xfId="0" applyFont="1"/>
    <xf numFmtId="0" fontId="0" fillId="0" borderId="1" xfId="0" applyBorder="1" applyAlignment="1">
      <alignment horizontal="left" wrapText="1"/>
    </xf>
    <xf numFmtId="0" fontId="0" fillId="0" borderId="0" xfId="0" applyAlignment="1">
      <alignment horizontal="right"/>
    </xf>
    <xf numFmtId="0" fontId="2" fillId="0" borderId="0" xfId="0" applyFont="1" applyAlignment="1">
      <alignment wrapText="1"/>
    </xf>
    <xf numFmtId="0" fontId="19" fillId="0" borderId="0" xfId="0" applyFont="1" applyAlignment="1">
      <alignment wrapText="1"/>
    </xf>
    <xf numFmtId="0" fontId="0" fillId="7" borderId="0" xfId="0" applyFill="1" applyAlignment="1" applyProtection="1">
      <alignment horizontal="right"/>
      <protection locked="0" hidden="1"/>
    </xf>
    <xf numFmtId="0" fontId="0" fillId="7" borderId="0" xfId="0" applyFill="1" applyProtection="1">
      <protection locked="0" hidden="1"/>
    </xf>
    <xf numFmtId="165" fontId="3" fillId="7" borderId="0" xfId="0" applyNumberFormat="1" applyFont="1" applyFill="1" applyProtection="1">
      <protection locked="0" hidden="1"/>
    </xf>
    <xf numFmtId="9" fontId="5" fillId="7" borderId="0" xfId="2" applyFont="1" applyFill="1" applyProtection="1">
      <protection locked="0" hidden="1"/>
    </xf>
    <xf numFmtId="0" fontId="3" fillId="7" borderId="0" xfId="0" applyFont="1" applyFill="1" applyProtection="1">
      <protection locked="0" hidden="1"/>
    </xf>
    <xf numFmtId="166" fontId="0" fillId="0" borderId="2" xfId="0" applyNumberFormat="1" applyBorder="1"/>
    <xf numFmtId="166" fontId="2" fillId="4" borderId="2" xfId="0" applyNumberFormat="1" applyFont="1" applyFill="1" applyBorder="1"/>
    <xf numFmtId="166" fontId="0" fillId="0" borderId="3" xfId="0" applyNumberFormat="1" applyBorder="1"/>
    <xf numFmtId="166" fontId="2" fillId="4" borderId="3" xfId="0" applyNumberFormat="1" applyFont="1" applyFill="1" applyBorder="1"/>
    <xf numFmtId="166" fontId="0" fillId="0" borderId="6" xfId="0" applyNumberFormat="1" applyBorder="1"/>
    <xf numFmtId="166" fontId="0" fillId="0" borderId="7" xfId="0" applyNumberFormat="1" applyBorder="1"/>
    <xf numFmtId="166" fontId="2" fillId="4" borderId="6" xfId="0" applyNumberFormat="1" applyFont="1" applyFill="1" applyBorder="1"/>
    <xf numFmtId="166" fontId="2" fillId="4" borderId="7" xfId="0" applyNumberFormat="1" applyFont="1" applyFill="1" applyBorder="1"/>
    <xf numFmtId="1" fontId="0" fillId="0" borderId="6" xfId="0" applyNumberFormat="1" applyBorder="1"/>
    <xf numFmtId="1" fontId="2" fillId="4" borderId="6" xfId="0" applyNumberFormat="1" applyFont="1" applyFill="1" applyBorder="1"/>
    <xf numFmtId="0" fontId="0" fillId="0" borderId="10" xfId="0" applyBorder="1"/>
    <xf numFmtId="0" fontId="0" fillId="0" borderId="6" xfId="0" applyBorder="1" applyAlignment="1">
      <alignment wrapText="1"/>
    </xf>
    <xf numFmtId="0" fontId="2" fillId="4" borderId="6" xfId="0" applyFont="1" applyFill="1" applyBorder="1" applyAlignment="1">
      <alignment wrapText="1"/>
    </xf>
    <xf numFmtId="0" fontId="2" fillId="0" borderId="6" xfId="0" applyFont="1" applyBorder="1" applyAlignment="1">
      <alignment wrapText="1"/>
    </xf>
    <xf numFmtId="0" fontId="2" fillId="5" borderId="15" xfId="0" applyFont="1" applyFill="1" applyBorder="1" applyAlignment="1">
      <alignment wrapText="1"/>
    </xf>
    <xf numFmtId="0" fontId="0" fillId="5" borderId="16" xfId="0" applyFill="1" applyBorder="1"/>
    <xf numFmtId="0" fontId="2" fillId="5" borderId="16" xfId="0" applyFont="1" applyFill="1" applyBorder="1"/>
    <xf numFmtId="1" fontId="2" fillId="5" borderId="16" xfId="0" applyNumberFormat="1" applyFont="1" applyFill="1" applyBorder="1"/>
    <xf numFmtId="166" fontId="2" fillId="5" borderId="17" xfId="0" applyNumberFormat="1" applyFont="1" applyFill="1" applyBorder="1"/>
    <xf numFmtId="166" fontId="2" fillId="5" borderId="15" xfId="0" applyNumberFormat="1" applyFont="1" applyFill="1" applyBorder="1"/>
    <xf numFmtId="1" fontId="2" fillId="5" borderId="15" xfId="0" applyNumberFormat="1" applyFont="1" applyFill="1" applyBorder="1"/>
    <xf numFmtId="0" fontId="0" fillId="0" borderId="12" xfId="0" applyBorder="1" applyAlignment="1">
      <alignment wrapText="1"/>
    </xf>
    <xf numFmtId="0" fontId="0" fillId="0" borderId="13" xfId="0" applyBorder="1"/>
    <xf numFmtId="1" fontId="0" fillId="0" borderId="13" xfId="0" applyNumberFormat="1" applyBorder="1"/>
    <xf numFmtId="1" fontId="0" fillId="3" borderId="13" xfId="0" applyNumberFormat="1" applyFill="1" applyBorder="1"/>
    <xf numFmtId="166" fontId="0" fillId="0" borderId="14" xfId="0" applyNumberFormat="1" applyBorder="1"/>
    <xf numFmtId="166" fontId="0" fillId="0" borderId="12" xfId="0" applyNumberFormat="1" applyBorder="1"/>
    <xf numFmtId="1" fontId="0" fillId="0" borderId="12" xfId="0" applyNumberFormat="1" applyBorder="1"/>
    <xf numFmtId="0" fontId="0" fillId="0" borderId="18" xfId="0" applyBorder="1" applyAlignment="1">
      <alignment wrapText="1"/>
    </xf>
    <xf numFmtId="1" fontId="0" fillId="3" borderId="10" xfId="0" applyNumberFormat="1" applyFill="1" applyBorder="1"/>
    <xf numFmtId="166" fontId="0" fillId="0" borderId="19" xfId="0" applyNumberFormat="1" applyBorder="1"/>
    <xf numFmtId="166" fontId="0" fillId="0" borderId="18" xfId="0" applyNumberFormat="1" applyBorder="1"/>
    <xf numFmtId="1" fontId="0" fillId="0" borderId="18" xfId="0" applyNumberFormat="1" applyBorder="1"/>
    <xf numFmtId="0" fontId="2" fillId="4" borderId="15" xfId="0" applyFont="1" applyFill="1" applyBorder="1" applyAlignment="1">
      <alignment wrapText="1"/>
    </xf>
    <xf numFmtId="0" fontId="0" fillId="4" borderId="16" xfId="0" applyFill="1" applyBorder="1"/>
    <xf numFmtId="1" fontId="2" fillId="4" borderId="16" xfId="0" applyNumberFormat="1" applyFont="1" applyFill="1" applyBorder="1"/>
    <xf numFmtId="166" fontId="2" fillId="4" borderId="17" xfId="0" applyNumberFormat="1" applyFont="1" applyFill="1" applyBorder="1"/>
    <xf numFmtId="166" fontId="2" fillId="4" borderId="15" xfId="0" applyNumberFormat="1" applyFont="1" applyFill="1" applyBorder="1"/>
    <xf numFmtId="1" fontId="2" fillId="4" borderId="15" xfId="0" applyNumberFormat="1" applyFont="1" applyFill="1" applyBorder="1"/>
    <xf numFmtId="0" fontId="2" fillId="4" borderId="16" xfId="0" applyFont="1" applyFill="1" applyBorder="1"/>
    <xf numFmtId="0" fontId="0" fillId="5" borderId="16" xfId="0" applyFill="1" applyBorder="1" applyAlignment="1">
      <alignment horizontal="right"/>
    </xf>
    <xf numFmtId="0" fontId="0" fillId="5" borderId="17" xfId="0" applyFill="1" applyBorder="1" applyAlignment="1">
      <alignment horizontal="right"/>
    </xf>
    <xf numFmtId="0" fontId="2" fillId="6" borderId="15" xfId="0" applyFont="1" applyFill="1" applyBorder="1" applyAlignment="1">
      <alignment wrapText="1"/>
    </xf>
    <xf numFmtId="0" fontId="0" fillId="6" borderId="16" xfId="0" applyFill="1" applyBorder="1" applyAlignment="1">
      <alignment horizontal="right"/>
    </xf>
    <xf numFmtId="1" fontId="2" fillId="6" borderId="16" xfId="0" applyNumberFormat="1" applyFont="1" applyFill="1" applyBorder="1"/>
    <xf numFmtId="0" fontId="0" fillId="6" borderId="17" xfId="0" applyFill="1" applyBorder="1" applyAlignment="1">
      <alignment horizontal="right"/>
    </xf>
    <xf numFmtId="1" fontId="0" fillId="0" borderId="10" xfId="0" applyNumberFormat="1" applyBorder="1"/>
    <xf numFmtId="0" fontId="2" fillId="0" borderId="15" xfId="0" applyFont="1" applyBorder="1" applyAlignment="1">
      <alignment wrapText="1"/>
    </xf>
    <xf numFmtId="0" fontId="2" fillId="0" borderId="16" xfId="0" applyFont="1" applyBorder="1" applyAlignment="1">
      <alignment wrapText="1"/>
    </xf>
    <xf numFmtId="0" fontId="2" fillId="3" borderId="16" xfId="0" applyFont="1" applyFill="1" applyBorder="1" applyAlignment="1">
      <alignment wrapText="1"/>
    </xf>
    <xf numFmtId="0" fontId="2" fillId="0" borderId="17" xfId="0" applyFont="1" applyBorder="1" applyAlignment="1">
      <alignment wrapText="1"/>
    </xf>
    <xf numFmtId="0" fontId="2" fillId="0" borderId="20" xfId="0" applyFont="1" applyBorder="1" applyAlignment="1">
      <alignment wrapText="1"/>
    </xf>
    <xf numFmtId="0" fontId="0" fillId="0" borderId="21" xfId="0" applyBorder="1"/>
    <xf numFmtId="0" fontId="2" fillId="0" borderId="21" xfId="0" applyFont="1" applyBorder="1"/>
    <xf numFmtId="1" fontId="2" fillId="0" borderId="21" xfId="0" applyNumberFormat="1" applyFont="1" applyBorder="1"/>
    <xf numFmtId="166" fontId="2" fillId="0" borderId="22" xfId="0" applyNumberFormat="1" applyFont="1" applyBorder="1"/>
    <xf numFmtId="0" fontId="0" fillId="0" borderId="23" xfId="0" applyBorder="1" applyAlignment="1">
      <alignment wrapText="1"/>
    </xf>
    <xf numFmtId="0" fontId="0" fillId="0" borderId="24" xfId="0" applyBorder="1" applyAlignment="1">
      <alignment horizontal="right"/>
    </xf>
    <xf numFmtId="1" fontId="0" fillId="0" borderId="24" xfId="0" applyNumberFormat="1" applyBorder="1"/>
    <xf numFmtId="0" fontId="0" fillId="0" borderId="25" xfId="0" applyBorder="1" applyAlignment="1">
      <alignment horizontal="right"/>
    </xf>
    <xf numFmtId="0" fontId="0" fillId="0" borderId="15" xfId="0" applyBorder="1" applyAlignment="1">
      <alignment wrapText="1"/>
    </xf>
    <xf numFmtId="0" fontId="2" fillId="0" borderId="16" xfId="0" applyFont="1" applyBorder="1"/>
    <xf numFmtId="0" fontId="2" fillId="8" borderId="15" xfId="0" applyFont="1" applyFill="1" applyBorder="1" applyAlignment="1">
      <alignment wrapText="1"/>
    </xf>
    <xf numFmtId="0" fontId="2" fillId="8" borderId="17" xfId="0" applyFont="1" applyFill="1" applyBorder="1" applyAlignment="1">
      <alignment wrapText="1"/>
    </xf>
    <xf numFmtId="0" fontId="2" fillId="3" borderId="15" xfId="0" applyFont="1" applyFill="1" applyBorder="1" applyAlignment="1">
      <alignment wrapText="1"/>
    </xf>
    <xf numFmtId="0" fontId="2" fillId="3" borderId="17" xfId="0" applyFont="1" applyFill="1" applyBorder="1" applyAlignment="1">
      <alignment wrapText="1"/>
    </xf>
    <xf numFmtId="0" fontId="2" fillId="9" borderId="15" xfId="0" applyFont="1" applyFill="1" applyBorder="1" applyAlignment="1">
      <alignment wrapText="1"/>
    </xf>
    <xf numFmtId="0" fontId="2" fillId="9" borderId="17" xfId="0" applyFont="1" applyFill="1" applyBorder="1" applyAlignment="1">
      <alignment wrapText="1"/>
    </xf>
    <xf numFmtId="0" fontId="2" fillId="7" borderId="15" xfId="0" applyFont="1" applyFill="1" applyBorder="1" applyAlignment="1">
      <alignment wrapText="1"/>
    </xf>
    <xf numFmtId="0" fontId="2" fillId="7" borderId="17" xfId="0" applyFont="1" applyFill="1" applyBorder="1" applyAlignment="1">
      <alignment wrapText="1"/>
    </xf>
    <xf numFmtId="0" fontId="2" fillId="10" borderId="15" xfId="0" applyFont="1" applyFill="1" applyBorder="1" applyAlignment="1">
      <alignment wrapText="1"/>
    </xf>
    <xf numFmtId="0" fontId="2" fillId="10" borderId="17" xfId="0" applyFont="1" applyFill="1" applyBorder="1" applyAlignment="1">
      <alignment wrapText="1"/>
    </xf>
    <xf numFmtId="0" fontId="2" fillId="0" borderId="4" xfId="0" applyFont="1" applyBorder="1" applyAlignment="1">
      <alignment horizontal="left" wrapText="1"/>
    </xf>
    <xf numFmtId="0" fontId="2" fillId="0" borderId="11" xfId="0" applyFont="1" applyBorder="1" applyAlignment="1">
      <alignment horizontal="left" wrapText="1"/>
    </xf>
    <xf numFmtId="0" fontId="2" fillId="3" borderId="11" xfId="0" applyFont="1" applyFill="1" applyBorder="1" applyAlignment="1">
      <alignment horizontal="left" wrapText="1"/>
    </xf>
    <xf numFmtId="0" fontId="2" fillId="5" borderId="26" xfId="0" applyFont="1" applyFill="1" applyBorder="1" applyAlignment="1">
      <alignment wrapText="1"/>
    </xf>
    <xf numFmtId="0" fontId="0" fillId="5" borderId="27" xfId="0" applyFill="1" applyBorder="1" applyAlignment="1">
      <alignment horizontal="right"/>
    </xf>
    <xf numFmtId="1" fontId="0" fillId="5" borderId="27" xfId="0" applyNumberFormat="1" applyFill="1" applyBorder="1"/>
    <xf numFmtId="0" fontId="0" fillId="5" borderId="28" xfId="0" applyFill="1" applyBorder="1" applyAlignment="1">
      <alignment horizontal="right"/>
    </xf>
    <xf numFmtId="1" fontId="0" fillId="6" borderId="16" xfId="0" applyNumberFormat="1" applyFill="1" applyBorder="1"/>
    <xf numFmtId="0" fontId="2" fillId="0" borderId="29" xfId="0" applyFont="1" applyBorder="1" applyAlignment="1">
      <alignment horizontal="left" wrapText="1"/>
    </xf>
    <xf numFmtId="166" fontId="0" fillId="0" borderId="30" xfId="0" applyNumberFormat="1" applyBorder="1"/>
    <xf numFmtId="166" fontId="0" fillId="0" borderId="32" xfId="0" applyNumberFormat="1" applyBorder="1"/>
    <xf numFmtId="166" fontId="0" fillId="0" borderId="8" xfId="0" applyNumberFormat="1" applyBorder="1"/>
    <xf numFmtId="166" fontId="0" fillId="0" borderId="9" xfId="0" applyNumberFormat="1" applyBorder="1"/>
    <xf numFmtId="166" fontId="2" fillId="4" borderId="33" xfId="0" applyNumberFormat="1" applyFont="1" applyFill="1" applyBorder="1"/>
    <xf numFmtId="166" fontId="2" fillId="5" borderId="33" xfId="0" applyNumberFormat="1" applyFont="1" applyFill="1" applyBorder="1"/>
    <xf numFmtId="166" fontId="2" fillId="4" borderId="34" xfId="0" applyNumberFormat="1" applyFont="1" applyFill="1" applyBorder="1"/>
    <xf numFmtId="166" fontId="2" fillId="5" borderId="34" xfId="0" applyNumberFormat="1" applyFont="1" applyFill="1" applyBorder="1"/>
    <xf numFmtId="0" fontId="2" fillId="8" borderId="4" xfId="0" applyFont="1" applyFill="1" applyBorder="1" applyAlignment="1">
      <alignment horizontal="left" wrapText="1"/>
    </xf>
    <xf numFmtId="0" fontId="2" fillId="8" borderId="5" xfId="0" applyFont="1" applyFill="1" applyBorder="1" applyAlignment="1">
      <alignment horizontal="left" wrapText="1"/>
    </xf>
    <xf numFmtId="0" fontId="2" fillId="3" borderId="31" xfId="0" applyFont="1" applyFill="1" applyBorder="1" applyAlignment="1">
      <alignment horizontal="left" wrapText="1"/>
    </xf>
    <xf numFmtId="0" fontId="2" fillId="3" borderId="29" xfId="0" applyFont="1" applyFill="1" applyBorder="1" applyAlignment="1">
      <alignment horizontal="left" wrapText="1"/>
    </xf>
    <xf numFmtId="0" fontId="2" fillId="9" borderId="4" xfId="0" applyFont="1" applyFill="1" applyBorder="1" applyAlignment="1">
      <alignment horizontal="left" wrapText="1"/>
    </xf>
    <xf numFmtId="0" fontId="2" fillId="9" borderId="5" xfId="0" applyFont="1" applyFill="1" applyBorder="1" applyAlignment="1">
      <alignment horizontal="left" wrapText="1"/>
    </xf>
    <xf numFmtId="0" fontId="2" fillId="7" borderId="31" xfId="0" applyFont="1" applyFill="1" applyBorder="1" applyAlignment="1">
      <alignment horizontal="left" wrapText="1"/>
    </xf>
    <xf numFmtId="0" fontId="2" fillId="7" borderId="29" xfId="0" applyFont="1" applyFill="1" applyBorder="1" applyAlignment="1">
      <alignment horizontal="left" wrapText="1"/>
    </xf>
    <xf numFmtId="0" fontId="2" fillId="10" borderId="4" xfId="0" applyFont="1" applyFill="1" applyBorder="1" applyAlignment="1">
      <alignment horizontal="left" wrapText="1"/>
    </xf>
    <xf numFmtId="0" fontId="2" fillId="10" borderId="5" xfId="0" applyFont="1" applyFill="1" applyBorder="1" applyAlignment="1">
      <alignment horizontal="left" wrapText="1"/>
    </xf>
    <xf numFmtId="0" fontId="9" fillId="0" borderId="0" xfId="0" applyFont="1" applyAlignment="1">
      <alignment vertical="center"/>
    </xf>
  </cellXfs>
  <cellStyles count="3">
    <cellStyle name="Procent" xfId="2" builtinId="5"/>
    <cellStyle name="Standaard" xfId="0" builtinId="0"/>
    <cellStyle name="Valuta" xfId="1" builtinId="4"/>
  </cellStyles>
  <dxfs count="17">
    <dxf>
      <font>
        <color rgb="FFACB9CA"/>
      </font>
    </dxf>
    <dxf>
      <font>
        <color rgb="FFDBDBDB"/>
      </font>
    </dxf>
    <dxf>
      <font>
        <color rgb="FFC6E0B4"/>
      </font>
    </dxf>
    <dxf>
      <font>
        <color rgb="FFC6E0B4"/>
      </font>
    </dxf>
    <dxf>
      <font>
        <color rgb="FFDBDBDB"/>
      </font>
    </dxf>
    <dxf>
      <font>
        <color rgb="FFACB9CA"/>
      </font>
    </dxf>
    <dxf>
      <font>
        <color theme="0"/>
      </font>
    </dxf>
    <dxf>
      <font>
        <color theme="0"/>
      </font>
    </dxf>
    <dxf>
      <font>
        <color rgb="FFACB9CA"/>
      </font>
    </dxf>
    <dxf>
      <font>
        <color rgb="FFDBDBDB"/>
      </font>
    </dxf>
    <dxf>
      <font>
        <color rgb="FFACB9CA"/>
      </font>
    </dxf>
    <dxf>
      <font>
        <color rgb="FFDBDBDB"/>
      </font>
    </dxf>
    <dxf>
      <font>
        <color rgb="FFC6E0B4"/>
      </font>
    </dxf>
    <dxf>
      <font>
        <color rgb="FFC6E0B4"/>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ACB9CA"/>
      <color rgb="FFDBDBDB"/>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11239501</xdr:colOff>
      <xdr:row>0</xdr:row>
      <xdr:rowOff>103790</xdr:rowOff>
    </xdr:from>
    <xdr:to>
      <xdr:col>0</xdr:col>
      <xdr:colOff>13239751</xdr:colOff>
      <xdr:row>11</xdr:row>
      <xdr:rowOff>8540</xdr:rowOff>
    </xdr:to>
    <xdr:pic>
      <xdr:nvPicPr>
        <xdr:cNvPr id="3" name="Afbeelding 2">
          <a:extLst>
            <a:ext uri="{FF2B5EF4-FFF2-40B4-BE49-F238E27FC236}">
              <a16:creationId xmlns:a16="http://schemas.microsoft.com/office/drawing/2014/main" id="{187FB18D-1A48-4721-B85F-F273098919DE}"/>
            </a:ext>
          </a:extLst>
        </xdr:cNvPr>
        <xdr:cNvPicPr>
          <a:picLocks noChangeAspect="1"/>
        </xdr:cNvPicPr>
      </xdr:nvPicPr>
      <xdr:blipFill>
        <a:blip xmlns:r="http://schemas.openxmlformats.org/officeDocument/2006/relationships" r:embed="rId1"/>
        <a:stretch>
          <a:fillRect/>
        </a:stretch>
      </xdr:blipFill>
      <xdr:spPr>
        <a:xfrm>
          <a:off x="11239501" y="103790"/>
          <a:ext cx="2000250" cy="2000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66261</xdr:colOff>
      <xdr:row>0</xdr:row>
      <xdr:rowOff>140805</xdr:rowOff>
    </xdr:from>
    <xdr:to>
      <xdr:col>7</xdr:col>
      <xdr:colOff>987535</xdr:colOff>
      <xdr:row>5</xdr:row>
      <xdr:rowOff>109579</xdr:rowOff>
    </xdr:to>
    <xdr:pic>
      <xdr:nvPicPr>
        <xdr:cNvPr id="2" name="Afbeelding 1">
          <a:extLst>
            <a:ext uri="{FF2B5EF4-FFF2-40B4-BE49-F238E27FC236}">
              <a16:creationId xmlns:a16="http://schemas.microsoft.com/office/drawing/2014/main" id="{E605D0F9-EC21-435D-B46D-91EDA91DBAC4}"/>
            </a:ext>
          </a:extLst>
        </xdr:cNvPr>
        <xdr:cNvPicPr>
          <a:picLocks noChangeAspect="1"/>
        </xdr:cNvPicPr>
      </xdr:nvPicPr>
      <xdr:blipFill>
        <a:blip xmlns:r="http://schemas.openxmlformats.org/officeDocument/2006/relationships" r:embed="rId1"/>
        <a:stretch>
          <a:fillRect/>
        </a:stretch>
      </xdr:blipFill>
      <xdr:spPr>
        <a:xfrm>
          <a:off x="8473109" y="140805"/>
          <a:ext cx="919369" cy="919369"/>
        </a:xfrm>
        <a:prstGeom prst="rect">
          <a:avLst/>
        </a:prstGeom>
      </xdr:spPr>
    </xdr:pic>
    <xdr:clientData/>
  </xdr:twoCellAnchor>
</xdr:wsDr>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6C84C-CDF0-4646-B2F3-0F9C292F22E0}">
  <dimension ref="A2:A37"/>
  <sheetViews>
    <sheetView tabSelected="1" zoomScaleNormal="100" workbookViewId="0"/>
  </sheetViews>
  <sheetFormatPr baseColWidth="10" defaultColWidth="8.6640625" defaultRowHeight="15" x14ac:dyDescent="0.2"/>
  <cols>
    <col min="1" max="1" width="213.6640625" customWidth="1"/>
  </cols>
  <sheetData>
    <row r="2" spans="1:1" x14ac:dyDescent="0.2">
      <c r="A2" s="2" t="s">
        <v>0</v>
      </c>
    </row>
    <row r="3" spans="1:1" x14ac:dyDescent="0.2">
      <c r="A3" s="3" t="s">
        <v>1</v>
      </c>
    </row>
    <row r="4" spans="1:1" x14ac:dyDescent="0.2">
      <c r="A4" s="2" t="s">
        <v>2</v>
      </c>
    </row>
    <row r="5" spans="1:1" x14ac:dyDescent="0.2">
      <c r="A5" s="4"/>
    </row>
    <row r="6" spans="1:1" x14ac:dyDescent="0.2">
      <c r="A6" s="4" t="s">
        <v>3</v>
      </c>
    </row>
    <row r="7" spans="1:1" x14ac:dyDescent="0.2">
      <c r="A7" s="4" t="s">
        <v>4</v>
      </c>
    </row>
    <row r="8" spans="1:1" x14ac:dyDescent="0.2">
      <c r="A8" s="4" t="s">
        <v>5</v>
      </c>
    </row>
    <row r="9" spans="1:1" x14ac:dyDescent="0.2">
      <c r="A9" s="4" t="s">
        <v>6</v>
      </c>
    </row>
    <row r="10" spans="1:1" x14ac:dyDescent="0.2">
      <c r="A10" s="4" t="s">
        <v>7</v>
      </c>
    </row>
    <row r="11" spans="1:1" x14ac:dyDescent="0.2">
      <c r="A11" s="4" t="s">
        <v>8</v>
      </c>
    </row>
    <row r="12" spans="1:1" x14ac:dyDescent="0.2">
      <c r="A12" s="4" t="s">
        <v>70</v>
      </c>
    </row>
    <row r="13" spans="1:1" x14ac:dyDescent="0.2">
      <c r="A13" s="4"/>
    </row>
    <row r="14" spans="1:1" ht="30" x14ac:dyDescent="0.2">
      <c r="A14" s="35" t="s">
        <v>9</v>
      </c>
    </row>
    <row r="15" spans="1:1" ht="30" x14ac:dyDescent="0.2">
      <c r="A15" s="4" t="s">
        <v>10</v>
      </c>
    </row>
    <row r="16" spans="1:1" x14ac:dyDescent="0.2">
      <c r="A16" s="4" t="s">
        <v>11</v>
      </c>
    </row>
    <row r="17" spans="1:1" x14ac:dyDescent="0.2">
      <c r="A17" s="4"/>
    </row>
    <row r="18" spans="1:1" x14ac:dyDescent="0.2">
      <c r="A18" s="3" t="s">
        <v>12</v>
      </c>
    </row>
    <row r="19" spans="1:1" x14ac:dyDescent="0.2">
      <c r="A19" s="5" t="s">
        <v>13</v>
      </c>
    </row>
    <row r="20" spans="1:1" ht="30" x14ac:dyDescent="0.2">
      <c r="A20" s="4" t="s">
        <v>14</v>
      </c>
    </row>
    <row r="21" spans="1:1" x14ac:dyDescent="0.2">
      <c r="A21" s="4"/>
    </row>
    <row r="22" spans="1:1" x14ac:dyDescent="0.2">
      <c r="A22" s="4" t="s">
        <v>15</v>
      </c>
    </row>
    <row r="23" spans="1:1" x14ac:dyDescent="0.2">
      <c r="A23" s="4" t="s">
        <v>16</v>
      </c>
    </row>
    <row r="24" spans="1:1" x14ac:dyDescent="0.2">
      <c r="A24" s="4"/>
    </row>
    <row r="25" spans="1:1" x14ac:dyDescent="0.2">
      <c r="A25" s="6" t="s">
        <v>17</v>
      </c>
    </row>
    <row r="26" spans="1:1" ht="30" x14ac:dyDescent="0.2">
      <c r="A26" s="4" t="s">
        <v>18</v>
      </c>
    </row>
    <row r="27" spans="1:1" x14ac:dyDescent="0.2">
      <c r="A27" s="4"/>
    </row>
    <row r="28" spans="1:1" x14ac:dyDescent="0.2">
      <c r="A28" s="5" t="s">
        <v>19</v>
      </c>
    </row>
    <row r="29" spans="1:1" x14ac:dyDescent="0.2">
      <c r="A29" s="4" t="s">
        <v>20</v>
      </c>
    </row>
    <row r="30" spans="1:1" x14ac:dyDescent="0.2">
      <c r="A30" s="4" t="s">
        <v>21</v>
      </c>
    </row>
    <row r="31" spans="1:1" x14ac:dyDescent="0.2">
      <c r="A31" s="4" t="s">
        <v>22</v>
      </c>
    </row>
    <row r="32" spans="1:1" x14ac:dyDescent="0.2">
      <c r="A32" s="1"/>
    </row>
    <row r="33" spans="1:1" x14ac:dyDescent="0.2">
      <c r="A33" s="155" t="s">
        <v>109</v>
      </c>
    </row>
    <row r="34" spans="1:1" ht="30" x14ac:dyDescent="0.2">
      <c r="A34" s="4" t="s">
        <v>110</v>
      </c>
    </row>
    <row r="36" spans="1:1" x14ac:dyDescent="0.2">
      <c r="A36" s="36" t="s">
        <v>111</v>
      </c>
    </row>
    <row r="37" spans="1:1" ht="32" x14ac:dyDescent="0.2">
      <c r="A37" s="37" t="s">
        <v>112</v>
      </c>
    </row>
  </sheetData>
  <sheetProtection selectLockedCells="1"/>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2CF80-60AA-4B1A-AAF2-F5D3C154015D}">
  <dimension ref="A1:H28"/>
  <sheetViews>
    <sheetView topLeftCell="A4" zoomScaleNormal="100" workbookViewId="0">
      <selection activeCell="B8" sqref="B8"/>
    </sheetView>
  </sheetViews>
  <sheetFormatPr baseColWidth="10" defaultColWidth="9.33203125" defaultRowHeight="15" x14ac:dyDescent="0.2"/>
  <cols>
    <col min="1" max="1" width="28.5" style="25" bestFit="1" customWidth="1"/>
    <col min="2" max="2" width="17.33203125" style="25" customWidth="1"/>
    <col min="3" max="3" width="20.33203125" style="25" customWidth="1"/>
    <col min="4" max="4" width="18.6640625" style="25" customWidth="1"/>
    <col min="5" max="5" width="14" style="25" customWidth="1"/>
    <col min="6" max="6" width="18.33203125" style="25" bestFit="1" customWidth="1"/>
    <col min="7" max="7" width="9.33203125" style="25"/>
    <col min="8" max="8" width="16" style="25" customWidth="1"/>
    <col min="9" max="16384" width="9.33203125" style="25"/>
  </cols>
  <sheetData>
    <row r="1" spans="1:8" x14ac:dyDescent="0.2">
      <c r="C1" s="26"/>
    </row>
    <row r="2" spans="1:8" x14ac:dyDescent="0.2">
      <c r="A2" s="25" t="s">
        <v>23</v>
      </c>
      <c r="B2" s="51"/>
      <c r="C2" s="26" t="s">
        <v>24</v>
      </c>
    </row>
    <row r="3" spans="1:8" x14ac:dyDescent="0.2">
      <c r="C3" s="26"/>
    </row>
    <row r="4" spans="1:8" x14ac:dyDescent="0.2">
      <c r="A4" s="25" t="s">
        <v>25</v>
      </c>
      <c r="B4" s="52"/>
      <c r="C4" s="26" t="s">
        <v>26</v>
      </c>
    </row>
    <row r="5" spans="1:8" x14ac:dyDescent="0.2">
      <c r="C5" s="26"/>
    </row>
    <row r="6" spans="1:8" x14ac:dyDescent="0.2">
      <c r="A6" s="25" t="s">
        <v>27</v>
      </c>
      <c r="B6" s="52"/>
      <c r="C6" s="26" t="s">
        <v>26</v>
      </c>
      <c r="D6" s="26"/>
    </row>
    <row r="8" spans="1:8" x14ac:dyDescent="0.2">
      <c r="A8" s="26" t="s">
        <v>28</v>
      </c>
      <c r="B8" s="53"/>
      <c r="C8" s="26" t="s">
        <v>29</v>
      </c>
      <c r="D8" s="26"/>
    </row>
    <row r="9" spans="1:8" x14ac:dyDescent="0.2">
      <c r="C9" s="26"/>
      <c r="D9" s="26"/>
    </row>
    <row r="10" spans="1:8" x14ac:dyDescent="0.2">
      <c r="B10" s="27"/>
    </row>
    <row r="11" spans="1:8" x14ac:dyDescent="0.2">
      <c r="B11" s="28" t="s">
        <v>30</v>
      </c>
      <c r="C11" s="28" t="s">
        <v>31</v>
      </c>
      <c r="D11" s="28" t="s">
        <v>32</v>
      </c>
      <c r="E11" s="28" t="s">
        <v>33</v>
      </c>
      <c r="F11" s="28" t="s">
        <v>34</v>
      </c>
      <c r="H11" s="31" t="s">
        <v>35</v>
      </c>
    </row>
    <row r="12" spans="1:8" s="32" customFormat="1" ht="48" x14ac:dyDescent="0.2">
      <c r="A12" s="29" t="s">
        <v>36</v>
      </c>
      <c r="B12" s="29" t="s">
        <v>37</v>
      </c>
      <c r="C12" s="29" t="s">
        <v>38</v>
      </c>
      <c r="D12" s="29" t="s">
        <v>39</v>
      </c>
      <c r="E12" s="29" t="s">
        <v>40</v>
      </c>
      <c r="F12" s="29" t="s">
        <v>41</v>
      </c>
      <c r="H12" s="29" t="s">
        <v>42</v>
      </c>
    </row>
    <row r="13" spans="1:8" x14ac:dyDescent="0.2">
      <c r="A13" s="26" t="s">
        <v>43</v>
      </c>
      <c r="B13" s="30">
        <v>0.2</v>
      </c>
      <c r="C13" s="30">
        <v>0</v>
      </c>
      <c r="D13" s="30">
        <v>0.37</v>
      </c>
      <c r="E13" s="30">
        <v>0</v>
      </c>
      <c r="F13" s="54"/>
      <c r="H13" s="55"/>
    </row>
    <row r="14" spans="1:8" x14ac:dyDescent="0.2">
      <c r="A14" s="26" t="s">
        <v>44</v>
      </c>
      <c r="B14" s="30">
        <v>0.12</v>
      </c>
      <c r="C14" s="30">
        <v>0</v>
      </c>
      <c r="D14" s="30">
        <v>0.2</v>
      </c>
      <c r="E14" s="30">
        <v>0</v>
      </c>
      <c r="F14" s="54"/>
      <c r="H14" s="52"/>
    </row>
    <row r="15" spans="1:8" x14ac:dyDescent="0.2">
      <c r="A15" s="26" t="s">
        <v>45</v>
      </c>
      <c r="B15" s="30">
        <v>0.05</v>
      </c>
      <c r="C15" s="30">
        <v>0</v>
      </c>
      <c r="D15" s="30">
        <v>0.05</v>
      </c>
      <c r="E15" s="30">
        <v>0</v>
      </c>
      <c r="F15" s="54"/>
      <c r="H15" s="52"/>
    </row>
    <row r="16" spans="1:8" x14ac:dyDescent="0.2">
      <c r="A16" s="26" t="s">
        <v>46</v>
      </c>
      <c r="B16" s="30">
        <v>7.0000000000000007E-2</v>
      </c>
      <c r="C16" s="30">
        <v>0.1</v>
      </c>
      <c r="D16" s="30">
        <v>0.05</v>
      </c>
      <c r="E16" s="30">
        <v>0.15</v>
      </c>
      <c r="F16" s="54"/>
      <c r="H16" s="52"/>
    </row>
    <row r="17" spans="1:8" x14ac:dyDescent="0.2">
      <c r="A17" s="26" t="s">
        <v>47</v>
      </c>
      <c r="B17" s="30">
        <v>0.03</v>
      </c>
      <c r="C17" s="30">
        <v>0</v>
      </c>
      <c r="D17" s="30">
        <v>0.1</v>
      </c>
      <c r="E17" s="30">
        <v>0</v>
      </c>
      <c r="F17" s="54"/>
      <c r="H17" s="52"/>
    </row>
    <row r="18" spans="1:8" x14ac:dyDescent="0.2">
      <c r="A18" s="26" t="s">
        <v>48</v>
      </c>
      <c r="B18" s="30">
        <v>0.05</v>
      </c>
      <c r="C18" s="30">
        <v>0.2</v>
      </c>
      <c r="D18" s="30">
        <v>0</v>
      </c>
      <c r="E18" s="30">
        <v>0.25</v>
      </c>
      <c r="F18" s="54"/>
      <c r="H18" s="52"/>
    </row>
    <row r="19" spans="1:8" x14ac:dyDescent="0.2">
      <c r="A19" s="26" t="s">
        <v>49</v>
      </c>
      <c r="B19" s="30">
        <v>0.15</v>
      </c>
      <c r="C19" s="30">
        <v>0.25</v>
      </c>
      <c r="D19" s="30">
        <v>0.02</v>
      </c>
      <c r="E19" s="30">
        <v>0.2</v>
      </c>
      <c r="F19" s="54"/>
      <c r="H19" s="52"/>
    </row>
    <row r="20" spans="1:8" x14ac:dyDescent="0.2">
      <c r="A20" s="26" t="s">
        <v>50</v>
      </c>
      <c r="B20" s="30">
        <v>0.13</v>
      </c>
      <c r="C20" s="30">
        <v>0.15</v>
      </c>
      <c r="D20" s="30">
        <v>0.16</v>
      </c>
      <c r="E20" s="30">
        <v>0.05</v>
      </c>
      <c r="F20" s="54"/>
      <c r="H20" s="52"/>
    </row>
    <row r="21" spans="1:8" x14ac:dyDescent="0.2">
      <c r="A21" s="26" t="s">
        <v>51</v>
      </c>
      <c r="B21" s="30">
        <v>0.02</v>
      </c>
      <c r="C21" s="30">
        <v>0.03</v>
      </c>
      <c r="D21" s="30">
        <v>0</v>
      </c>
      <c r="E21" s="30">
        <v>0.03</v>
      </c>
      <c r="F21" s="54"/>
      <c r="H21" s="52"/>
    </row>
    <row r="22" spans="1:8" x14ac:dyDescent="0.2">
      <c r="A22" s="26" t="s">
        <v>52</v>
      </c>
      <c r="B22" s="30">
        <v>0.02</v>
      </c>
      <c r="C22" s="30">
        <v>0.05</v>
      </c>
      <c r="D22" s="30">
        <v>0</v>
      </c>
      <c r="E22" s="30">
        <v>0.02</v>
      </c>
      <c r="F22" s="54"/>
      <c r="H22" s="52"/>
    </row>
    <row r="23" spans="1:8" x14ac:dyDescent="0.2">
      <c r="A23" s="26" t="s">
        <v>53</v>
      </c>
      <c r="B23" s="30">
        <v>0.01</v>
      </c>
      <c r="C23" s="30">
        <v>0.02</v>
      </c>
      <c r="D23" s="30">
        <v>0.05</v>
      </c>
      <c r="E23" s="30">
        <v>0</v>
      </c>
      <c r="F23" s="54"/>
      <c r="H23" s="52"/>
    </row>
    <row r="24" spans="1:8" x14ac:dyDescent="0.2">
      <c r="A24" s="26" t="s">
        <v>54</v>
      </c>
      <c r="B24" s="30">
        <v>0</v>
      </c>
      <c r="C24" s="30">
        <v>0</v>
      </c>
      <c r="D24" s="30">
        <v>0</v>
      </c>
      <c r="E24" s="30">
        <v>0</v>
      </c>
      <c r="F24" s="54"/>
      <c r="H24" s="52"/>
    </row>
    <row r="25" spans="1:8" x14ac:dyDescent="0.2">
      <c r="A25" s="26" t="s">
        <v>55</v>
      </c>
      <c r="B25" s="30">
        <v>0.15</v>
      </c>
      <c r="C25" s="30">
        <v>0.2</v>
      </c>
      <c r="D25" s="30">
        <v>0</v>
      </c>
      <c r="E25" s="30">
        <v>0.3</v>
      </c>
      <c r="F25" s="54"/>
      <c r="H25" s="52"/>
    </row>
    <row r="26" spans="1:8" ht="16" x14ac:dyDescent="0.2">
      <c r="A26" s="26"/>
      <c r="B26" s="30">
        <f>SUM(B13:B25)</f>
        <v>1</v>
      </c>
      <c r="C26" s="30">
        <f>SUM(C13:C25)</f>
        <v>1.0000000000000002</v>
      </c>
      <c r="D26" s="30">
        <f>SUM(D13:D25)</f>
        <v>1.0000000000000002</v>
      </c>
      <c r="E26" s="30">
        <f>SUM(E13:E25)</f>
        <v>1.0000000000000002</v>
      </c>
      <c r="F26" s="33">
        <f>SUM(F13:F25)</f>
        <v>0</v>
      </c>
    </row>
    <row r="27" spans="1:8" x14ac:dyDescent="0.2">
      <c r="F27" s="34"/>
    </row>
    <row r="28" spans="1:8" x14ac:dyDescent="0.2">
      <c r="B28" s="34" t="s">
        <v>56</v>
      </c>
      <c r="F28" s="34"/>
    </row>
  </sheetData>
  <sheetProtection selectLockedCells="1"/>
  <conditionalFormatting sqref="F26">
    <cfRule type="cellIs" dxfId="16" priority="1" operator="between">
      <formula>0.01</formula>
      <formula>0.99</formula>
    </cfRule>
    <cfRule type="cellIs" dxfId="15" priority="3" operator="greaterThan">
      <formula>1</formula>
    </cfRule>
  </conditionalFormatting>
  <pageMargins left="0.7" right="0.7" top="0.75" bottom="0.75" header="0.3" footer="0.3"/>
  <pageSetup paperSize="9"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promptTitle="Kies hier het schooltype" prompt="Kies het schooltype dmv het rolmenu rechts van de cel:_x000a_A.  Scholengemeenschap vmbo-havo-vwo_x000a_B.  Vmbo -locatie en/of alleen onderbouw havo/vwo_x000a_C.  Schoollocatie met alleen havo-vwo bovenbouw_x000a_D.  Praktijkschool_x000a_E.  Eigen verdeling invoeren in kolom F" xr:uid="{25F46216-9276-B947-BA57-C7720BC48E20}">
          <x14:formula1>
            <xm:f>gegevens!$A$3:$A$7</xm:f>
          </x14:formula1>
          <xm:sqref>B2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53E709-DB9F-4049-8D03-A7E9709FFD6E}">
  <dimension ref="A1:G16"/>
  <sheetViews>
    <sheetView workbookViewId="0">
      <selection activeCell="B19" sqref="B19"/>
    </sheetView>
  </sheetViews>
  <sheetFormatPr baseColWidth="10" defaultColWidth="9.33203125" defaultRowHeight="21" x14ac:dyDescent="0.25"/>
  <cols>
    <col min="1" max="1" width="40.33203125" style="9" customWidth="1"/>
    <col min="2" max="2" width="19" style="9" bestFit="1" customWidth="1"/>
    <col min="3" max="3" width="15.33203125" style="9" customWidth="1"/>
    <col min="4" max="4" width="21.33203125" style="9" customWidth="1"/>
    <col min="5" max="5" width="22.5" style="9" bestFit="1" customWidth="1"/>
    <col min="6" max="6" width="17.33203125" style="9" customWidth="1"/>
    <col min="7" max="7" width="20.5" style="9" customWidth="1"/>
    <col min="8" max="16384" width="9.33203125" style="9"/>
  </cols>
  <sheetData>
    <row r="1" spans="1:7" x14ac:dyDescent="0.25">
      <c r="A1" s="18" t="s">
        <v>57</v>
      </c>
      <c r="B1" s="19"/>
      <c r="C1" s="19"/>
      <c r="D1" s="19"/>
      <c r="E1" s="19"/>
      <c r="F1" s="19"/>
      <c r="G1" s="19"/>
    </row>
    <row r="2" spans="1:7" ht="66" x14ac:dyDescent="0.25">
      <c r="A2" s="10" t="s">
        <v>58</v>
      </c>
      <c r="B2" s="11" t="s">
        <v>59</v>
      </c>
      <c r="C2" s="11" t="s">
        <v>60</v>
      </c>
      <c r="D2" s="11" t="s">
        <v>61</v>
      </c>
      <c r="E2" s="11" t="s">
        <v>62</v>
      </c>
      <c r="F2" s="11" t="s">
        <v>63</v>
      </c>
      <c r="G2" s="11" t="s">
        <v>64</v>
      </c>
    </row>
    <row r="3" spans="1:7" x14ac:dyDescent="0.25">
      <c r="A3" s="17" t="s">
        <v>43</v>
      </c>
      <c r="B3" s="24" t="str">
        <f>IFERROR(INDEX(Input!$B$13:$F$25,MATCH('Resultaat - Omvang collectie'!$A3,Input!$A$13:$A$25,0),MATCH(Input!B$2,Input!$B$11:$F$11,0)),"-")</f>
        <v>-</v>
      </c>
      <c r="C3" s="16" t="str">
        <f t="shared" ref="C3:C15" si="0">IFERROR(B3*$C$16,"-")</f>
        <v>-</v>
      </c>
      <c r="D3" s="16">
        <f>VLOOKUP(A3,Input!$A$13:$H$25,8,FALSE)</f>
        <v>0</v>
      </c>
      <c r="E3" s="16" t="str">
        <f>IFERROR(C3-D3,"-")</f>
        <v>-</v>
      </c>
      <c r="F3" s="15">
        <v>18.5</v>
      </c>
      <c r="G3" s="20" t="str">
        <f>IFERROR(IF(F3*E3&lt;0,0,F3*E3),"-")</f>
        <v>-</v>
      </c>
    </row>
    <row r="4" spans="1:7" x14ac:dyDescent="0.25">
      <c r="A4" s="17" t="s">
        <v>44</v>
      </c>
      <c r="B4" s="24" t="str">
        <f>IFERROR(INDEX(Input!$B$13:$F$25,MATCH('Resultaat - Omvang collectie'!$A4,Input!$A$13:$A$25,0),MATCH(Input!B$2,Input!$B$11:$F$11,0)),"-")</f>
        <v>-</v>
      </c>
      <c r="C4" s="16" t="str">
        <f t="shared" si="0"/>
        <v>-</v>
      </c>
      <c r="D4" s="16">
        <f>VLOOKUP(A4,Input!$A$13:$H$25,8,FALSE)</f>
        <v>0</v>
      </c>
      <c r="E4" s="16" t="str">
        <f t="shared" ref="E4:E15" si="1">IFERROR(C4-D4,"-")</f>
        <v>-</v>
      </c>
      <c r="F4" s="15">
        <v>18.5</v>
      </c>
      <c r="G4" s="20" t="str">
        <f t="shared" ref="G4:G15" si="2">IFERROR(IF(F4*E4&lt;0,0,F4*E4),"-")</f>
        <v>-</v>
      </c>
    </row>
    <row r="5" spans="1:7" x14ac:dyDescent="0.25">
      <c r="A5" s="17" t="s">
        <v>45</v>
      </c>
      <c r="B5" s="24" t="str">
        <f>IFERROR(INDEX(Input!$B$13:$F$25,MATCH('Resultaat - Omvang collectie'!$A5,Input!$A$13:$A$25,0),MATCH(Input!B$2,Input!$B$11:$F$11,0)),"-")</f>
        <v>-</v>
      </c>
      <c r="C5" s="16" t="str">
        <f t="shared" si="0"/>
        <v>-</v>
      </c>
      <c r="D5" s="16">
        <f>VLOOKUP(A5,Input!$A$13:$H$25,8,FALSE)</f>
        <v>0</v>
      </c>
      <c r="E5" s="16" t="str">
        <f t="shared" si="1"/>
        <v>-</v>
      </c>
      <c r="F5" s="15">
        <v>18.5</v>
      </c>
      <c r="G5" s="20" t="str">
        <f t="shared" si="2"/>
        <v>-</v>
      </c>
    </row>
    <row r="6" spans="1:7" x14ac:dyDescent="0.25">
      <c r="A6" s="21" t="s">
        <v>46</v>
      </c>
      <c r="B6" s="24" t="str">
        <f>IFERROR(INDEX(Input!$B$13:$F$25,MATCH('Resultaat - Omvang collectie'!$A6,Input!$A$13:$A$25,0),MATCH(Input!B$2,Input!$B$11:$F$11,0)),"-")</f>
        <v>-</v>
      </c>
      <c r="C6" s="16" t="str">
        <f t="shared" si="0"/>
        <v>-</v>
      </c>
      <c r="D6" s="16">
        <f>VLOOKUP(A6,Input!$A$13:$H$25,8,FALSE)</f>
        <v>0</v>
      </c>
      <c r="E6" s="16" t="str">
        <f t="shared" si="1"/>
        <v>-</v>
      </c>
      <c r="F6" s="15">
        <v>18.5</v>
      </c>
      <c r="G6" s="20" t="str">
        <f t="shared" si="2"/>
        <v>-</v>
      </c>
    </row>
    <row r="7" spans="1:7" x14ac:dyDescent="0.25">
      <c r="A7" s="17" t="s">
        <v>47</v>
      </c>
      <c r="B7" s="24" t="str">
        <f>IFERROR(INDEX(Input!$B$13:$F$25,MATCH('Resultaat - Omvang collectie'!$A7,Input!$A$13:$A$25,0),MATCH(Input!B$2,Input!$B$11:$F$11,0)),"-")</f>
        <v>-</v>
      </c>
      <c r="C7" s="16" t="str">
        <f t="shared" si="0"/>
        <v>-</v>
      </c>
      <c r="D7" s="16">
        <f>VLOOKUP(A7,Input!$A$13:$H$25,8,FALSE)</f>
        <v>0</v>
      </c>
      <c r="E7" s="16" t="str">
        <f t="shared" si="1"/>
        <v>-</v>
      </c>
      <c r="F7" s="15">
        <v>18.5</v>
      </c>
      <c r="G7" s="20" t="str">
        <f t="shared" si="2"/>
        <v>-</v>
      </c>
    </row>
    <row r="8" spans="1:7" x14ac:dyDescent="0.25">
      <c r="A8" s="17" t="s">
        <v>48</v>
      </c>
      <c r="B8" s="24" t="str">
        <f>IFERROR(INDEX(Input!$B$13:$F$25,MATCH('Resultaat - Omvang collectie'!$A8,Input!$A$13:$A$25,0),MATCH(Input!B$2,Input!$B$11:$F$11,0)),"-")</f>
        <v>-</v>
      </c>
      <c r="C8" s="16" t="str">
        <f t="shared" si="0"/>
        <v>-</v>
      </c>
      <c r="D8" s="16">
        <f>VLOOKUP(A8,Input!$A$13:$H$25,8,FALSE)</f>
        <v>0</v>
      </c>
      <c r="E8" s="16" t="str">
        <f t="shared" si="1"/>
        <v>-</v>
      </c>
      <c r="F8" s="15">
        <v>18.5</v>
      </c>
      <c r="G8" s="20" t="str">
        <f t="shared" si="2"/>
        <v>-</v>
      </c>
    </row>
    <row r="9" spans="1:7" x14ac:dyDescent="0.25">
      <c r="A9" s="17" t="s">
        <v>49</v>
      </c>
      <c r="B9" s="24" t="str">
        <f>IFERROR(INDEX(Input!$B$13:$F$25,MATCH('Resultaat - Omvang collectie'!$A9,Input!$A$13:$A$25,0),MATCH(Input!B$2,Input!$B$11:$F$11,0)),"-")</f>
        <v>-</v>
      </c>
      <c r="C9" s="16" t="str">
        <f t="shared" si="0"/>
        <v>-</v>
      </c>
      <c r="D9" s="16">
        <f>VLOOKUP(A9,Input!$A$13:$H$25,8,FALSE)</f>
        <v>0</v>
      </c>
      <c r="E9" s="16" t="str">
        <f t="shared" si="1"/>
        <v>-</v>
      </c>
      <c r="F9" s="15">
        <v>18.5</v>
      </c>
      <c r="G9" s="20" t="str">
        <f t="shared" si="2"/>
        <v>-</v>
      </c>
    </row>
    <row r="10" spans="1:7" x14ac:dyDescent="0.25">
      <c r="A10" s="17" t="s">
        <v>50</v>
      </c>
      <c r="B10" s="24" t="str">
        <f>IFERROR(INDEX(Input!$B$13:$F$25,MATCH('Resultaat - Omvang collectie'!$A10,Input!$A$13:$A$25,0),MATCH(Input!B$2,Input!$B$11:$F$11,0)),"-")</f>
        <v>-</v>
      </c>
      <c r="C10" s="16" t="str">
        <f t="shared" si="0"/>
        <v>-</v>
      </c>
      <c r="D10" s="16">
        <f>VLOOKUP(A10,Input!$A$13:$H$25,8,FALSE)</f>
        <v>0</v>
      </c>
      <c r="E10" s="16" t="str">
        <f t="shared" si="1"/>
        <v>-</v>
      </c>
      <c r="F10" s="15">
        <v>18.5</v>
      </c>
      <c r="G10" s="20" t="str">
        <f t="shared" si="2"/>
        <v>-</v>
      </c>
    </row>
    <row r="11" spans="1:7" x14ac:dyDescent="0.25">
      <c r="A11" s="17" t="s">
        <v>51</v>
      </c>
      <c r="B11" s="24" t="str">
        <f>IFERROR(INDEX(Input!$B$13:$F$25,MATCH('Resultaat - Omvang collectie'!$A11,Input!$A$13:$A$25,0),MATCH(Input!B$2,Input!$B$11:$F$11,0)),"-")</f>
        <v>-</v>
      </c>
      <c r="C11" s="16" t="str">
        <f t="shared" si="0"/>
        <v>-</v>
      </c>
      <c r="D11" s="16">
        <f>VLOOKUP(A11,Input!$A$13:$H$25,8,FALSE)</f>
        <v>0</v>
      </c>
      <c r="E11" s="16" t="str">
        <f t="shared" si="1"/>
        <v>-</v>
      </c>
      <c r="F11" s="15">
        <v>18.5</v>
      </c>
      <c r="G11" s="20" t="str">
        <f t="shared" si="2"/>
        <v>-</v>
      </c>
    </row>
    <row r="12" spans="1:7" x14ac:dyDescent="0.25">
      <c r="A12" s="17" t="s">
        <v>52</v>
      </c>
      <c r="B12" s="24" t="str">
        <f>IFERROR(INDEX(Input!$B$13:$F$25,MATCH('Resultaat - Omvang collectie'!$A12,Input!$A$13:$A$25,0),MATCH(Input!B$2,Input!$B$11:$F$11,0)),"-")</f>
        <v>-</v>
      </c>
      <c r="C12" s="16" t="str">
        <f t="shared" si="0"/>
        <v>-</v>
      </c>
      <c r="D12" s="16">
        <f>VLOOKUP(A12,Input!$A$13:$H$25,8,FALSE)</f>
        <v>0</v>
      </c>
      <c r="E12" s="16" t="str">
        <f t="shared" si="1"/>
        <v>-</v>
      </c>
      <c r="F12" s="15">
        <v>18.5</v>
      </c>
      <c r="G12" s="20" t="str">
        <f t="shared" si="2"/>
        <v>-</v>
      </c>
    </row>
    <row r="13" spans="1:7" x14ac:dyDescent="0.25">
      <c r="A13" s="17" t="s">
        <v>53</v>
      </c>
      <c r="B13" s="24" t="str">
        <f>IFERROR(INDEX(Input!$B$13:$F$25,MATCH('Resultaat - Omvang collectie'!$A13,Input!$A$13:$A$25,0),MATCH(Input!B$2,Input!$B$11:$F$11,0)),"-")</f>
        <v>-</v>
      </c>
      <c r="C13" s="16" t="str">
        <f t="shared" si="0"/>
        <v>-</v>
      </c>
      <c r="D13" s="16">
        <f>VLOOKUP(A13,Input!$A$13:$H$25,8,FALSE)</f>
        <v>0</v>
      </c>
      <c r="E13" s="16" t="str">
        <f t="shared" si="1"/>
        <v>-</v>
      </c>
      <c r="F13" s="15">
        <v>18.5</v>
      </c>
      <c r="G13" s="20" t="str">
        <f t="shared" si="2"/>
        <v>-</v>
      </c>
    </row>
    <row r="14" spans="1:7" x14ac:dyDescent="0.25">
      <c r="A14" s="17" t="s">
        <v>54</v>
      </c>
      <c r="B14" s="24" t="str">
        <f>IFERROR(INDEX(Input!$B$13:$F$25,MATCH('Resultaat - Omvang collectie'!$A14,Input!$A$13:$A$25,0),MATCH(Input!B$2,Input!$B$11:$F$11,0)),"-")</f>
        <v>-</v>
      </c>
      <c r="C14" s="16" t="str">
        <f t="shared" si="0"/>
        <v>-</v>
      </c>
      <c r="D14" s="16">
        <f>VLOOKUP(A14,Input!$A$13:$H$25,8,FALSE)</f>
        <v>0</v>
      </c>
      <c r="E14" s="16" t="str">
        <f t="shared" si="1"/>
        <v>-</v>
      </c>
      <c r="F14" s="15">
        <v>18.5</v>
      </c>
      <c r="G14" s="20" t="str">
        <f t="shared" si="2"/>
        <v>-</v>
      </c>
    </row>
    <row r="15" spans="1:7" x14ac:dyDescent="0.25">
      <c r="A15" s="17" t="s">
        <v>55</v>
      </c>
      <c r="B15" s="24" t="str">
        <f>IFERROR(INDEX(Input!$B$13:$F$25,MATCH('Resultaat - Omvang collectie'!$A15,Input!$A$13:$A$25,0),MATCH(Input!B$2,Input!$B$11:$F$11,0)),"-")</f>
        <v>-</v>
      </c>
      <c r="C15" s="16" t="str">
        <f t="shared" si="0"/>
        <v>-</v>
      </c>
      <c r="D15" s="16">
        <f>VLOOKUP(A15,Input!$A$13:$H$25,8,FALSE)</f>
        <v>0</v>
      </c>
      <c r="E15" s="16" t="str">
        <f t="shared" si="1"/>
        <v>-</v>
      </c>
      <c r="F15" s="15">
        <v>18.5</v>
      </c>
      <c r="G15" s="20" t="str">
        <f t="shared" si="2"/>
        <v>-</v>
      </c>
    </row>
    <row r="16" spans="1:7" x14ac:dyDescent="0.25">
      <c r="A16" s="17" t="s">
        <v>65</v>
      </c>
      <c r="B16" s="24">
        <f>SUM(B3:B15)</f>
        <v>0</v>
      </c>
      <c r="C16" s="22">
        <f>Input!B4*Input!B6</f>
        <v>0</v>
      </c>
      <c r="D16" s="16"/>
      <c r="E16" s="22">
        <f>Input!D4*Input!D6</f>
        <v>0</v>
      </c>
      <c r="F16" s="22"/>
      <c r="G16" s="23">
        <f>SUM(G3:G15)</f>
        <v>0</v>
      </c>
    </row>
  </sheetData>
  <sheetProtection selectLockedCells="1"/>
  <conditionalFormatting sqref="E3:E15">
    <cfRule type="cellIs" dxfId="14" priority="1" operator="less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B900D-8024-45A7-B113-0192D6FC3799}">
  <dimension ref="A1:M16"/>
  <sheetViews>
    <sheetView workbookViewId="0">
      <selection activeCell="C20" sqref="C20"/>
    </sheetView>
  </sheetViews>
  <sheetFormatPr baseColWidth="10" defaultColWidth="9.33203125" defaultRowHeight="21" x14ac:dyDescent="0.25"/>
  <cols>
    <col min="1" max="1" width="40.33203125" style="9" customWidth="1"/>
    <col min="2" max="2" width="22.6640625" style="9" bestFit="1" customWidth="1"/>
    <col min="3" max="3" width="24.6640625" style="9" customWidth="1"/>
    <col min="4" max="4" width="25.5" style="9" customWidth="1"/>
    <col min="5" max="5" width="19" style="9" customWidth="1"/>
    <col min="6" max="6" width="14.5" style="9" customWidth="1"/>
    <col min="7" max="7" width="12.5" style="9" bestFit="1" customWidth="1"/>
    <col min="8" max="16384" width="9.33203125" style="9"/>
  </cols>
  <sheetData>
    <row r="1" spans="1:13" x14ac:dyDescent="0.25">
      <c r="A1" s="8" t="s">
        <v>66</v>
      </c>
    </row>
    <row r="2" spans="1:13" ht="44" x14ac:dyDescent="0.25">
      <c r="A2" s="10" t="s">
        <v>58</v>
      </c>
      <c r="B2" s="11" t="s">
        <v>59</v>
      </c>
      <c r="C2" s="11" t="s">
        <v>67</v>
      </c>
      <c r="D2" s="11" t="s">
        <v>63</v>
      </c>
      <c r="E2" s="11" t="s">
        <v>68</v>
      </c>
      <c r="F2" s="11"/>
      <c r="G2" s="11"/>
      <c r="I2" s="12"/>
      <c r="J2" s="13"/>
      <c r="K2" s="12"/>
      <c r="L2" s="12"/>
      <c r="M2" s="12"/>
    </row>
    <row r="3" spans="1:13" x14ac:dyDescent="0.25">
      <c r="A3" s="7" t="s">
        <v>43</v>
      </c>
      <c r="B3" s="24" t="str">
        <f>IFERROR(INDEX(Input!$B$13:$F$25,MATCH('Resultaat - Budget'!$A3,Input!$A$13:$A$25,0),MATCH(Input!B$2,Input!$B$11:$F$11,0)),"-")</f>
        <v>-</v>
      </c>
      <c r="C3" s="14" t="str">
        <f t="shared" ref="C3:C15" si="0">IFERROR(B3*$C$16,"-")</f>
        <v>-</v>
      </c>
      <c r="D3" s="15">
        <v>18.5</v>
      </c>
      <c r="E3" s="16" t="str">
        <f>IFERROR(C3/D3,"-")</f>
        <v>-</v>
      </c>
    </row>
    <row r="4" spans="1:13" x14ac:dyDescent="0.25">
      <c r="A4" s="7" t="s">
        <v>44</v>
      </c>
      <c r="B4" s="24" t="str">
        <f>IFERROR(INDEX(Input!$B$13:$F$25,MATCH('Resultaat - Budget'!$A4,Input!$A$13:$A$25,0),MATCH(Input!B$2,Input!$B$11:$F$11,0)),"-")</f>
        <v>-</v>
      </c>
      <c r="C4" s="14" t="str">
        <f t="shared" si="0"/>
        <v>-</v>
      </c>
      <c r="D4" s="15">
        <v>18.5</v>
      </c>
      <c r="E4" s="16" t="str">
        <f t="shared" ref="E4:E15" si="1">IFERROR(C4/D4,"-")</f>
        <v>-</v>
      </c>
    </row>
    <row r="5" spans="1:13" x14ac:dyDescent="0.25">
      <c r="A5" s="7" t="s">
        <v>45</v>
      </c>
      <c r="B5" s="24" t="str">
        <f>IFERROR(INDEX(Input!$B$13:$F$25,MATCH('Resultaat - Budget'!$A5,Input!$A$13:$A$25,0),MATCH(Input!B$2,Input!$B$11:$F$11,0)),"-")</f>
        <v>-</v>
      </c>
      <c r="C5" s="14" t="str">
        <f t="shared" si="0"/>
        <v>-</v>
      </c>
      <c r="D5" s="15">
        <v>18.5</v>
      </c>
      <c r="E5" s="16" t="str">
        <f t="shared" si="1"/>
        <v>-</v>
      </c>
    </row>
    <row r="6" spans="1:13" x14ac:dyDescent="0.25">
      <c r="A6" s="7" t="s">
        <v>46</v>
      </c>
      <c r="B6" s="24" t="str">
        <f>IFERROR(INDEX(Input!$B$13:$F$25,MATCH('Resultaat - Budget'!$A6,Input!$A$13:$A$25,0),MATCH(Input!B$2,Input!$B$11:$F$11,0)),"-")</f>
        <v>-</v>
      </c>
      <c r="C6" s="14" t="str">
        <f t="shared" si="0"/>
        <v>-</v>
      </c>
      <c r="D6" s="15">
        <v>18.5</v>
      </c>
      <c r="E6" s="16" t="str">
        <f t="shared" si="1"/>
        <v>-</v>
      </c>
    </row>
    <row r="7" spans="1:13" x14ac:dyDescent="0.25">
      <c r="A7" s="7" t="s">
        <v>47</v>
      </c>
      <c r="B7" s="24" t="str">
        <f>IFERROR(INDEX(Input!$B$13:$F$25,MATCH('Resultaat - Budget'!$A7,Input!$A$13:$A$25,0),MATCH(Input!B$2,Input!$B$11:$F$11,0)),"-")</f>
        <v>-</v>
      </c>
      <c r="C7" s="14" t="str">
        <f t="shared" si="0"/>
        <v>-</v>
      </c>
      <c r="D7" s="15">
        <v>18.5</v>
      </c>
      <c r="E7" s="16" t="str">
        <f t="shared" si="1"/>
        <v>-</v>
      </c>
    </row>
    <row r="8" spans="1:13" x14ac:dyDescent="0.25">
      <c r="A8" s="7" t="s">
        <v>48</v>
      </c>
      <c r="B8" s="24" t="str">
        <f>IFERROR(INDEX(Input!$B$13:$F$25,MATCH('Resultaat - Budget'!$A8,Input!$A$13:$A$25,0),MATCH(Input!B$2,Input!$B$11:$F$11,0)),"-")</f>
        <v>-</v>
      </c>
      <c r="C8" s="14" t="str">
        <f t="shared" si="0"/>
        <v>-</v>
      </c>
      <c r="D8" s="15">
        <v>18.5</v>
      </c>
      <c r="E8" s="16" t="str">
        <f t="shared" si="1"/>
        <v>-</v>
      </c>
    </row>
    <row r="9" spans="1:13" x14ac:dyDescent="0.25">
      <c r="A9" s="7" t="s">
        <v>49</v>
      </c>
      <c r="B9" s="24" t="str">
        <f>IFERROR(INDEX(Input!$B$13:$F$25,MATCH('Resultaat - Budget'!$A9,Input!$A$13:$A$25,0),MATCH(Input!B$2,Input!$B$11:$F$11,0)),"-")</f>
        <v>-</v>
      </c>
      <c r="C9" s="14" t="str">
        <f t="shared" si="0"/>
        <v>-</v>
      </c>
      <c r="D9" s="15">
        <v>18.5</v>
      </c>
      <c r="E9" s="16" t="str">
        <f t="shared" si="1"/>
        <v>-</v>
      </c>
    </row>
    <row r="10" spans="1:13" x14ac:dyDescent="0.25">
      <c r="A10" s="7" t="s">
        <v>50</v>
      </c>
      <c r="B10" s="24" t="str">
        <f>IFERROR(INDEX(Input!$B$13:$F$25,MATCH('Resultaat - Budget'!$A10,Input!$A$13:$A$25,0),MATCH(Input!B$2,Input!$B$11:$F$11,0)),"-")</f>
        <v>-</v>
      </c>
      <c r="C10" s="14" t="str">
        <f t="shared" si="0"/>
        <v>-</v>
      </c>
      <c r="D10" s="15">
        <v>18.5</v>
      </c>
      <c r="E10" s="16" t="str">
        <f t="shared" si="1"/>
        <v>-</v>
      </c>
    </row>
    <row r="11" spans="1:13" x14ac:dyDescent="0.25">
      <c r="A11" s="7" t="s">
        <v>51</v>
      </c>
      <c r="B11" s="24" t="str">
        <f>IFERROR(INDEX(Input!$B$13:$F$25,MATCH('Resultaat - Budget'!$A11,Input!$A$13:$A$25,0),MATCH(Input!B$2,Input!$B$11:$F$11,0)),"-")</f>
        <v>-</v>
      </c>
      <c r="C11" s="14" t="str">
        <f t="shared" si="0"/>
        <v>-</v>
      </c>
      <c r="D11" s="15">
        <v>18.5</v>
      </c>
      <c r="E11" s="16" t="str">
        <f t="shared" si="1"/>
        <v>-</v>
      </c>
    </row>
    <row r="12" spans="1:13" x14ac:dyDescent="0.25">
      <c r="A12" s="7" t="s">
        <v>52</v>
      </c>
      <c r="B12" s="24" t="str">
        <f>IFERROR(INDEX(Input!$B$13:$F$25,MATCH('Resultaat - Budget'!$A12,Input!$A$13:$A$25,0),MATCH(Input!B$2,Input!$B$11:$F$11,0)),"-")</f>
        <v>-</v>
      </c>
      <c r="C12" s="14" t="str">
        <f t="shared" si="0"/>
        <v>-</v>
      </c>
      <c r="D12" s="15">
        <v>18.5</v>
      </c>
      <c r="E12" s="16" t="str">
        <f t="shared" si="1"/>
        <v>-</v>
      </c>
    </row>
    <row r="13" spans="1:13" x14ac:dyDescent="0.25">
      <c r="A13" s="7" t="s">
        <v>53</v>
      </c>
      <c r="B13" s="24" t="str">
        <f>IFERROR(INDEX(Input!$B$13:$F$25,MATCH('Resultaat - Budget'!$A13,Input!$A$13:$A$25,0),MATCH(Input!B$2,Input!$B$11:$F$11,0)),"-")</f>
        <v>-</v>
      </c>
      <c r="C13" s="14" t="str">
        <f t="shared" si="0"/>
        <v>-</v>
      </c>
      <c r="D13" s="15">
        <v>18.5</v>
      </c>
      <c r="E13" s="16" t="str">
        <f t="shared" si="1"/>
        <v>-</v>
      </c>
    </row>
    <row r="14" spans="1:13" x14ac:dyDescent="0.25">
      <c r="A14" s="7" t="s">
        <v>54</v>
      </c>
      <c r="B14" s="24" t="str">
        <f>IFERROR(INDEX(Input!$B$13:$F$25,MATCH('Resultaat - Budget'!$A14,Input!$A$13:$A$25,0),MATCH(Input!B$2,Input!$B$11:$F$11,0)),"-")</f>
        <v>-</v>
      </c>
      <c r="C14" s="14" t="str">
        <f t="shared" si="0"/>
        <v>-</v>
      </c>
      <c r="D14" s="15">
        <v>18.5</v>
      </c>
      <c r="E14" s="16" t="str">
        <f t="shared" si="1"/>
        <v>-</v>
      </c>
    </row>
    <row r="15" spans="1:13" x14ac:dyDescent="0.25">
      <c r="A15" s="7" t="s">
        <v>55</v>
      </c>
      <c r="B15" s="24" t="str">
        <f>IFERROR(INDEX(Input!$B$13:$F$25,MATCH('Resultaat - Budget'!$A15,Input!$A$13:$A$25,0),MATCH(Input!B$2,Input!$B$11:$F$11,0)),"-")</f>
        <v>-</v>
      </c>
      <c r="C15" s="14" t="str">
        <f t="shared" si="0"/>
        <v>-</v>
      </c>
      <c r="D15" s="15">
        <v>18.5</v>
      </c>
      <c r="E15" s="16" t="str">
        <f t="shared" si="1"/>
        <v>-</v>
      </c>
    </row>
    <row r="16" spans="1:13" x14ac:dyDescent="0.25">
      <c r="A16" s="17" t="s">
        <v>65</v>
      </c>
      <c r="B16" s="24">
        <f>SUM(B3:B15)</f>
        <v>0</v>
      </c>
      <c r="C16" s="14">
        <f>Input!B8</f>
        <v>0</v>
      </c>
      <c r="D16" s="14"/>
      <c r="E16" s="16">
        <f>SUM(E3:E15)</f>
        <v>0</v>
      </c>
    </row>
  </sheetData>
  <sheetProtection selectLockedCells="1"/>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D9E96-538F-4290-9E19-3A9F74F57075}">
  <dimension ref="A1:Q24"/>
  <sheetViews>
    <sheetView workbookViewId="0">
      <selection activeCell="H37" sqref="H37"/>
    </sheetView>
  </sheetViews>
  <sheetFormatPr baseColWidth="10" defaultColWidth="8.83203125" defaultRowHeight="15" customHeight="1" x14ac:dyDescent="0.2"/>
  <cols>
    <col min="1" max="1" width="23" style="37" customWidth="1"/>
    <col min="2" max="2" width="18.5" customWidth="1"/>
    <col min="3" max="4" width="15.83203125" customWidth="1"/>
    <col min="5" max="9" width="14.1640625" customWidth="1"/>
    <col min="10" max="10" width="17.5" customWidth="1"/>
    <col min="11" max="14" width="17.6640625" customWidth="1"/>
    <col min="15" max="16" width="18" customWidth="1"/>
    <col min="17" max="17" width="17.5" customWidth="1"/>
  </cols>
  <sheetData>
    <row r="1" spans="1:17" ht="20" x14ac:dyDescent="0.25">
      <c r="A1" s="50" t="s">
        <v>71</v>
      </c>
    </row>
    <row r="2" spans="1:17" ht="49" thickBot="1" x14ac:dyDescent="0.25">
      <c r="A2" s="49" t="s">
        <v>95</v>
      </c>
    </row>
    <row r="3" spans="1:17" ht="96" x14ac:dyDescent="0.2">
      <c r="A3" s="128" t="s">
        <v>72</v>
      </c>
      <c r="B3" s="129" t="s">
        <v>73</v>
      </c>
      <c r="C3" s="129" t="s">
        <v>74</v>
      </c>
      <c r="D3" s="130" t="s">
        <v>75</v>
      </c>
      <c r="E3" s="136" t="s">
        <v>76</v>
      </c>
      <c r="F3" s="145" t="s">
        <v>107</v>
      </c>
      <c r="G3" s="146" t="s">
        <v>102</v>
      </c>
      <c r="H3" s="147" t="s">
        <v>108</v>
      </c>
      <c r="I3" s="148" t="s">
        <v>103</v>
      </c>
      <c r="J3" s="149" t="s">
        <v>77</v>
      </c>
      <c r="K3" s="150" t="s">
        <v>100</v>
      </c>
      <c r="L3" s="151" t="s">
        <v>101</v>
      </c>
      <c r="M3" s="152" t="s">
        <v>104</v>
      </c>
      <c r="N3" s="153" t="s">
        <v>105</v>
      </c>
      <c r="O3" s="154" t="s">
        <v>106</v>
      </c>
    </row>
    <row r="4" spans="1:17" ht="16" x14ac:dyDescent="0.2">
      <c r="A4" s="67" t="s">
        <v>79</v>
      </c>
      <c r="B4" s="38">
        <v>30</v>
      </c>
      <c r="C4" s="40" t="str">
        <f>'Resultaat - Omvang collectie'!C3</f>
        <v>-</v>
      </c>
      <c r="D4" s="39" t="e">
        <f>C4*0.75</f>
        <v>#VALUE!</v>
      </c>
      <c r="E4" s="56" t="e">
        <f>D4/B4</f>
        <v>#VALUE!</v>
      </c>
      <c r="F4" s="60">
        <f>(2*B4)+20</f>
        <v>80</v>
      </c>
      <c r="G4" s="61" t="e">
        <f>D4/F4</f>
        <v>#VALUE!</v>
      </c>
      <c r="H4" s="58">
        <f>(3*B4)+20</f>
        <v>110</v>
      </c>
      <c r="I4" s="56" t="e">
        <f>D4/H4</f>
        <v>#VALUE!</v>
      </c>
      <c r="J4" s="64">
        <f>(3*B4)+10</f>
        <v>100</v>
      </c>
      <c r="K4" s="61" t="e">
        <f>D4/J4</f>
        <v>#VALUE!</v>
      </c>
      <c r="L4" s="58">
        <f>(4*B4)+10</f>
        <v>130</v>
      </c>
      <c r="M4" s="56" t="e">
        <f>D4/L4</f>
        <v>#VALUE!</v>
      </c>
      <c r="N4" s="60" t="e">
        <f>E4/4</f>
        <v>#VALUE!</v>
      </c>
      <c r="O4" s="61" t="e">
        <f>E4/5</f>
        <v>#VALUE!</v>
      </c>
    </row>
    <row r="5" spans="1:17" ht="16" x14ac:dyDescent="0.2">
      <c r="A5" s="67" t="s">
        <v>80</v>
      </c>
      <c r="B5" s="38">
        <v>35</v>
      </c>
      <c r="C5" s="40" t="str">
        <f>'Resultaat - Omvang collectie'!C7</f>
        <v>-</v>
      </c>
      <c r="D5" s="39" t="e">
        <f>C5*0.87</f>
        <v>#VALUE!</v>
      </c>
      <c r="E5" s="56" t="e">
        <f>D5/B5</f>
        <v>#VALUE!</v>
      </c>
      <c r="F5" s="60">
        <f>(2*B5)+20</f>
        <v>90</v>
      </c>
      <c r="G5" s="61" t="e">
        <f>D5/F5</f>
        <v>#VALUE!</v>
      </c>
      <c r="H5" s="58">
        <f>(3*B5)+20</f>
        <v>125</v>
      </c>
      <c r="I5" s="56" t="e">
        <f>D5/H5</f>
        <v>#VALUE!</v>
      </c>
      <c r="J5" s="64">
        <f>(3*B5)+10</f>
        <v>115</v>
      </c>
      <c r="K5" s="61" t="e">
        <f>D5/J5</f>
        <v>#VALUE!</v>
      </c>
      <c r="L5" s="58">
        <f>(4*B5)+10</f>
        <v>150</v>
      </c>
      <c r="M5" s="56" t="e">
        <f>D5/L5</f>
        <v>#VALUE!</v>
      </c>
      <c r="N5" s="60" t="e">
        <f>E5/4</f>
        <v>#VALUE!</v>
      </c>
      <c r="O5" s="61" t="e">
        <f>E5/5</f>
        <v>#VALUE!</v>
      </c>
    </row>
    <row r="6" spans="1:17" ht="16" x14ac:dyDescent="0.2">
      <c r="A6" s="67" t="s">
        <v>81</v>
      </c>
      <c r="B6" s="38">
        <v>32</v>
      </c>
      <c r="C6" s="40" t="e">
        <f>('Resultaat - Omvang collectie'!C4+'Resultaat - Omvang collectie'!C5+'Resultaat - Omvang collectie'!C11+'Resultaat - Omvang collectie'!C12+'Resultaat - Omvang collectie'!C13+'Resultaat - Omvang collectie'!C14)</f>
        <v>#VALUE!</v>
      </c>
      <c r="D6" s="39" t="e">
        <f>C6*0.93</f>
        <v>#VALUE!</v>
      </c>
      <c r="E6" s="56" t="e">
        <f>D6/B6</f>
        <v>#VALUE!</v>
      </c>
      <c r="F6" s="60">
        <f>(2*B6)+20</f>
        <v>84</v>
      </c>
      <c r="G6" s="61" t="e">
        <f>D6/F6</f>
        <v>#VALUE!</v>
      </c>
      <c r="H6" s="58">
        <f>(3*B6)+20</f>
        <v>116</v>
      </c>
      <c r="I6" s="56" t="e">
        <f>D6/H6</f>
        <v>#VALUE!</v>
      </c>
      <c r="J6" s="64">
        <f>(3*B6)+10</f>
        <v>106</v>
      </c>
      <c r="K6" s="61" t="e">
        <f>D6/J6</f>
        <v>#VALUE!</v>
      </c>
      <c r="L6" s="58">
        <f>(4*B6)+10</f>
        <v>138</v>
      </c>
      <c r="M6" s="56" t="e">
        <f xml:space="preserve"> D6/L6</f>
        <v>#VALUE!</v>
      </c>
      <c r="N6" s="60" t="e">
        <f>E6/4</f>
        <v>#VALUE!</v>
      </c>
      <c r="O6" s="61" t="e">
        <f>E6/5</f>
        <v>#VALUE!</v>
      </c>
    </row>
    <row r="7" spans="1:17" ht="32" x14ac:dyDescent="0.2">
      <c r="A7" s="68" t="s">
        <v>82</v>
      </c>
      <c r="B7" s="41"/>
      <c r="C7" s="42"/>
      <c r="D7" s="43" t="e">
        <f>SUM(D4:D6)</f>
        <v>#VALUE!</v>
      </c>
      <c r="E7" s="57"/>
      <c r="F7" s="62"/>
      <c r="G7" s="63" t="e">
        <f>SUM(G4:G6)</f>
        <v>#VALUE!</v>
      </c>
      <c r="H7" s="59"/>
      <c r="I7" s="57" t="e">
        <f>SUM(I4:I6)</f>
        <v>#VALUE!</v>
      </c>
      <c r="J7" s="65"/>
      <c r="K7" s="63" t="e">
        <f>SUM(K4:K6)</f>
        <v>#VALUE!</v>
      </c>
      <c r="L7" s="59"/>
      <c r="M7" s="57" t="e">
        <f>SUM(M4:M6)</f>
        <v>#VALUE!</v>
      </c>
      <c r="N7" s="62" t="e">
        <f>SUM(N4:N6)</f>
        <v>#VALUE!</v>
      </c>
      <c r="O7" s="63" t="e">
        <f>SUM(O4:O6)</f>
        <v>#VALUE!</v>
      </c>
    </row>
    <row r="8" spans="1:17" x14ac:dyDescent="0.2">
      <c r="A8" s="67"/>
      <c r="B8" s="38"/>
      <c r="C8" s="38"/>
      <c r="D8" s="39"/>
      <c r="E8" s="56"/>
      <c r="F8" s="60"/>
      <c r="G8" s="61"/>
      <c r="H8" s="58"/>
      <c r="I8" s="56"/>
      <c r="J8" s="64"/>
      <c r="K8" s="61"/>
      <c r="L8" s="58"/>
      <c r="M8" s="56"/>
      <c r="N8" s="60"/>
      <c r="O8" s="61"/>
    </row>
    <row r="9" spans="1:17" ht="16" x14ac:dyDescent="0.2">
      <c r="A9" s="69" t="s">
        <v>83</v>
      </c>
      <c r="B9" s="38"/>
      <c r="C9" s="38"/>
      <c r="D9" s="39"/>
      <c r="E9" s="56"/>
      <c r="F9" s="60"/>
      <c r="G9" s="61"/>
      <c r="H9" s="58"/>
      <c r="I9" s="56"/>
      <c r="J9" s="64"/>
      <c r="K9" s="61"/>
      <c r="L9" s="58"/>
      <c r="M9" s="56"/>
      <c r="N9" s="60"/>
      <c r="O9" s="61"/>
    </row>
    <row r="10" spans="1:17" ht="16" x14ac:dyDescent="0.2">
      <c r="A10" s="67" t="s">
        <v>31</v>
      </c>
      <c r="B10" s="38">
        <v>45</v>
      </c>
      <c r="C10" s="40" t="str">
        <f>'Resultaat - Omvang collectie'!C8</f>
        <v>-</v>
      </c>
      <c r="D10" s="39" t="e">
        <f>C10*0.63</f>
        <v>#VALUE!</v>
      </c>
      <c r="E10" s="56" t="e">
        <f t="shared" ref="E10:E13" si="0">D10/B10</f>
        <v>#VALUE!</v>
      </c>
      <c r="F10" s="60">
        <f>(2*B10)+16</f>
        <v>106</v>
      </c>
      <c r="G10" s="61" t="e">
        <f>D10/F10</f>
        <v>#VALUE!</v>
      </c>
      <c r="H10" s="58">
        <f>(3*B10)+16</f>
        <v>151</v>
      </c>
      <c r="I10" s="56" t="e">
        <f>D10/H10</f>
        <v>#VALUE!</v>
      </c>
      <c r="J10" s="64">
        <f>(3*B10)+8</f>
        <v>143</v>
      </c>
      <c r="K10" s="61" t="e">
        <f>D10/J10</f>
        <v>#VALUE!</v>
      </c>
      <c r="L10" s="58">
        <f>(4*B10)+8</f>
        <v>188</v>
      </c>
      <c r="M10" s="56" t="e">
        <f>D10/L10</f>
        <v>#VALUE!</v>
      </c>
      <c r="N10" s="60" t="e">
        <f>E10/4</f>
        <v>#VALUE!</v>
      </c>
      <c r="O10" s="61" t="e">
        <f>E10/5</f>
        <v>#VALUE!</v>
      </c>
    </row>
    <row r="11" spans="1:17" ht="16" x14ac:dyDescent="0.2">
      <c r="A11" s="67" t="s">
        <v>32</v>
      </c>
      <c r="B11" s="38">
        <v>35</v>
      </c>
      <c r="C11" s="40" t="str">
        <f>'Resultaat - Omvang collectie'!C9</f>
        <v>-</v>
      </c>
      <c r="D11" s="39" t="e">
        <f>C11*0.84</f>
        <v>#VALUE!</v>
      </c>
      <c r="E11" s="56" t="e">
        <f t="shared" si="0"/>
        <v>#VALUE!</v>
      </c>
      <c r="F11" s="60">
        <f>(2*B11)+16</f>
        <v>86</v>
      </c>
      <c r="G11" s="61" t="e">
        <f>D11/F11</f>
        <v>#VALUE!</v>
      </c>
      <c r="H11" s="58">
        <f>(3*B11)+16</f>
        <v>121</v>
      </c>
      <c r="I11" s="56" t="e">
        <f>D11/H11</f>
        <v>#VALUE!</v>
      </c>
      <c r="J11" s="64">
        <f>(3*B11)+8</f>
        <v>113</v>
      </c>
      <c r="K11" s="61" t="e">
        <f>D11/J11</f>
        <v>#VALUE!</v>
      </c>
      <c r="L11" s="58">
        <f>(4*B11)+8</f>
        <v>148</v>
      </c>
      <c r="M11" s="56" t="e">
        <f>D11/L11</f>
        <v>#VALUE!</v>
      </c>
      <c r="N11" s="60" t="e">
        <f>E11/4</f>
        <v>#VALUE!</v>
      </c>
      <c r="O11" s="61" t="e">
        <f>E11/5</f>
        <v>#VALUE!</v>
      </c>
    </row>
    <row r="12" spans="1:17" ht="16" x14ac:dyDescent="0.2">
      <c r="A12" s="67" t="s">
        <v>33</v>
      </c>
      <c r="B12" s="38">
        <v>30</v>
      </c>
      <c r="C12" s="40" t="str">
        <f>'Resultaat - Omvang collectie'!C10</f>
        <v>-</v>
      </c>
      <c r="D12" s="39" t="e">
        <f>C12*0.82</f>
        <v>#VALUE!</v>
      </c>
      <c r="E12" s="56" t="e">
        <f t="shared" si="0"/>
        <v>#VALUE!</v>
      </c>
      <c r="F12" s="60">
        <f>(2*B12)+16</f>
        <v>76</v>
      </c>
      <c r="G12" s="61" t="e">
        <f>D12/F12</f>
        <v>#VALUE!</v>
      </c>
      <c r="H12" s="58">
        <f>(3*B12)+16</f>
        <v>106</v>
      </c>
      <c r="I12" s="56" t="e">
        <f>D12/H12</f>
        <v>#VALUE!</v>
      </c>
      <c r="J12" s="64">
        <f>(3*B12)+8</f>
        <v>98</v>
      </c>
      <c r="K12" s="61" t="e">
        <f>D12/J12</f>
        <v>#VALUE!</v>
      </c>
      <c r="L12" s="58">
        <f>(4*B12)+8</f>
        <v>128</v>
      </c>
      <c r="M12" s="56" t="e">
        <f>D12/L12</f>
        <v>#VALUE!</v>
      </c>
      <c r="N12" s="60" t="e">
        <f>E12/4</f>
        <v>#VALUE!</v>
      </c>
      <c r="O12" s="61" t="e">
        <f>E12/5</f>
        <v>#VALUE!</v>
      </c>
    </row>
    <row r="13" spans="1:17" ht="17" thickBot="1" x14ac:dyDescent="0.25">
      <c r="A13" s="77" t="s">
        <v>84</v>
      </c>
      <c r="B13" s="78">
        <v>45</v>
      </c>
      <c r="C13" s="79" t="str">
        <f>'Resultaat - Omvang collectie'!C15</f>
        <v>-</v>
      </c>
      <c r="D13" s="80" t="e">
        <f>C13*0.88</f>
        <v>#VALUE!</v>
      </c>
      <c r="E13" s="137" t="e">
        <f t="shared" si="0"/>
        <v>#VALUE!</v>
      </c>
      <c r="F13" s="139">
        <f>(2*B13)+12</f>
        <v>102</v>
      </c>
      <c r="G13" s="140" t="e">
        <f>D13/F13</f>
        <v>#VALUE!</v>
      </c>
      <c r="H13" s="138">
        <f>(3*B13)+12</f>
        <v>147</v>
      </c>
      <c r="I13" s="137" t="e">
        <f>D13/H13</f>
        <v>#VALUE!</v>
      </c>
      <c r="J13" s="83">
        <f>(3*B13)+6</f>
        <v>141</v>
      </c>
      <c r="K13" s="81" t="e">
        <f>D13/J13</f>
        <v>#VALUE!</v>
      </c>
      <c r="L13" s="138">
        <f>(4*B13)+6</f>
        <v>186</v>
      </c>
      <c r="M13" s="137" t="e">
        <f>D13/L13</f>
        <v>#VALUE!</v>
      </c>
      <c r="N13" s="82" t="e">
        <f>E13/4</f>
        <v>#VALUE!</v>
      </c>
      <c r="O13" s="81" t="e">
        <f>E13/5</f>
        <v>#VALUE!</v>
      </c>
    </row>
    <row r="14" spans="1:17" s="36" customFormat="1" ht="17" thickBot="1" x14ac:dyDescent="0.25">
      <c r="A14" s="89" t="s">
        <v>85</v>
      </c>
      <c r="B14" s="95"/>
      <c r="C14" s="95"/>
      <c r="D14" s="91" t="e">
        <f>SUM(D10:D13)</f>
        <v>#VALUE!</v>
      </c>
      <c r="E14" s="141"/>
      <c r="F14" s="93"/>
      <c r="G14" s="92" t="e">
        <f>SUM(G10:G13)</f>
        <v>#VALUE!</v>
      </c>
      <c r="H14" s="143"/>
      <c r="I14" s="141" t="e">
        <f>SUM(I10:I13)</f>
        <v>#VALUE!</v>
      </c>
      <c r="J14" s="94"/>
      <c r="K14" s="92" t="e">
        <f>SUM(K10:K13)</f>
        <v>#VALUE!</v>
      </c>
      <c r="L14" s="143"/>
      <c r="M14" s="141" t="e">
        <f>SUM(M10:M13)</f>
        <v>#VALUE!</v>
      </c>
      <c r="N14" s="93" t="e">
        <f>SUM(N10:N13)</f>
        <v>#VALUE!</v>
      </c>
      <c r="O14" s="92" t="e">
        <f>SUM(O10:O13)</f>
        <v>#VALUE!</v>
      </c>
    </row>
    <row r="15" spans="1:17" ht="33" thickBot="1" x14ac:dyDescent="0.25">
      <c r="A15" s="70" t="s">
        <v>86</v>
      </c>
      <c r="B15" s="71"/>
      <c r="C15" s="72"/>
      <c r="D15" s="73" t="e">
        <f>D7+D14</f>
        <v>#VALUE!</v>
      </c>
      <c r="E15" s="142"/>
      <c r="F15" s="75"/>
      <c r="G15" s="74" t="e">
        <f>G7+G14</f>
        <v>#VALUE!</v>
      </c>
      <c r="H15" s="144"/>
      <c r="I15" s="142" t="e">
        <f>I7+I14</f>
        <v>#VALUE!</v>
      </c>
      <c r="J15" s="76"/>
      <c r="K15" s="74" t="e">
        <f>K7+K14</f>
        <v>#VALUE!</v>
      </c>
      <c r="L15" s="144"/>
      <c r="M15" s="142" t="e">
        <f>M7+M14</f>
        <v>#VALUE!</v>
      </c>
      <c r="N15" s="75" t="e">
        <f>N7+N14</f>
        <v>#VALUE!</v>
      </c>
      <c r="O15" s="74" t="e">
        <f>O7+O14</f>
        <v>#VALUE!</v>
      </c>
    </row>
    <row r="16" spans="1:17" ht="16" thickBot="1" x14ac:dyDescent="0.25">
      <c r="A16" s="107"/>
      <c r="B16" s="108"/>
      <c r="C16" s="109"/>
      <c r="D16" s="110"/>
      <c r="E16" s="111"/>
      <c r="F16" s="44"/>
      <c r="G16" s="44"/>
      <c r="H16" s="44"/>
      <c r="I16" s="44"/>
      <c r="J16" s="45"/>
      <c r="K16" s="44"/>
      <c r="L16" s="44"/>
      <c r="M16" s="44"/>
      <c r="N16" s="44"/>
      <c r="O16" s="44"/>
      <c r="P16" s="44"/>
      <c r="Q16" s="44"/>
    </row>
    <row r="17" spans="1:11" ht="49" thickBot="1" x14ac:dyDescent="0.25">
      <c r="A17" s="116"/>
      <c r="B17" s="117" t="s">
        <v>87</v>
      </c>
      <c r="C17" s="104" t="s">
        <v>74</v>
      </c>
      <c r="D17" s="105" t="s">
        <v>75</v>
      </c>
      <c r="E17" s="106" t="s">
        <v>88</v>
      </c>
      <c r="F17" s="49"/>
      <c r="G17" s="49"/>
      <c r="H17" s="49"/>
      <c r="I17" s="49"/>
    </row>
    <row r="18" spans="1:11" ht="17" thickBot="1" x14ac:dyDescent="0.25">
      <c r="A18" s="112" t="s">
        <v>89</v>
      </c>
      <c r="B18" s="113">
        <v>20</v>
      </c>
      <c r="C18" s="114" t="str">
        <f>'Resultaat - Omvang collectie'!E6</f>
        <v>-</v>
      </c>
      <c r="D18" s="39" t="e">
        <f>C18*0.5</f>
        <v>#VALUE!</v>
      </c>
      <c r="E18" s="115"/>
      <c r="F18" s="48"/>
      <c r="G18" s="48"/>
      <c r="H18" s="48"/>
      <c r="I18" s="48"/>
    </row>
    <row r="19" spans="1:11" ht="17" thickBot="1" x14ac:dyDescent="0.25">
      <c r="A19" s="98" t="s">
        <v>93</v>
      </c>
      <c r="B19" s="99"/>
      <c r="C19" s="135">
        <f>SUM(C18)</f>
        <v>0</v>
      </c>
      <c r="D19" s="91" t="e">
        <f>SUM(D18)</f>
        <v>#VALUE!</v>
      </c>
      <c r="E19" s="101"/>
      <c r="F19" s="48"/>
      <c r="G19" s="48"/>
      <c r="H19" s="48"/>
      <c r="I19" s="48"/>
    </row>
    <row r="20" spans="1:11" ht="17" thickBot="1" x14ac:dyDescent="0.25">
      <c r="A20" s="131" t="s">
        <v>94</v>
      </c>
      <c r="B20" s="132"/>
      <c r="C20" s="133">
        <f>SUM(C7+C14+C19)</f>
        <v>0</v>
      </c>
      <c r="D20" s="73" t="e">
        <f>SUM(D7+D14+D19)</f>
        <v>#VALUE!</v>
      </c>
      <c r="E20" s="134"/>
      <c r="F20" s="48"/>
      <c r="G20" s="48"/>
      <c r="H20" s="48"/>
      <c r="I20" s="48"/>
    </row>
    <row r="21" spans="1:11" ht="15" customHeight="1" x14ac:dyDescent="0.2">
      <c r="A21" s="46" t="s">
        <v>97</v>
      </c>
    </row>
    <row r="22" spans="1:11" ht="16" x14ac:dyDescent="0.2">
      <c r="A22" s="37" t="s">
        <v>91</v>
      </c>
    </row>
    <row r="23" spans="1:11" x14ac:dyDescent="0.2">
      <c r="A23" s="47">
        <v>20240730</v>
      </c>
    </row>
    <row r="24" spans="1:11" x14ac:dyDescent="0.2">
      <c r="K24" t="s">
        <v>92</v>
      </c>
    </row>
  </sheetData>
  <conditionalFormatting sqref="D4:D6 D8:D13">
    <cfRule type="containsErrors" dxfId="13" priority="7">
      <formula>ISERROR(D4)</formula>
    </cfRule>
  </conditionalFormatting>
  <conditionalFormatting sqref="D18">
    <cfRule type="containsErrors" dxfId="12" priority="3">
      <formula>ISERROR(D18)</formula>
    </cfRule>
  </conditionalFormatting>
  <conditionalFormatting sqref="D19">
    <cfRule type="containsErrors" dxfId="11" priority="2">
      <formula>ISERROR(D19)</formula>
    </cfRule>
  </conditionalFormatting>
  <conditionalFormatting sqref="D20">
    <cfRule type="containsErrors" dxfId="10" priority="1">
      <formula>ISERROR(D20)</formula>
    </cfRule>
  </conditionalFormatting>
  <conditionalFormatting sqref="D7:O7 D14:O14">
    <cfRule type="containsErrors" dxfId="9" priority="6">
      <formula>ISERROR(D7)</formula>
    </cfRule>
  </conditionalFormatting>
  <conditionalFormatting sqref="D15:O15">
    <cfRule type="containsErrors" dxfId="8" priority="5">
      <formula>ISERROR(D15)</formula>
    </cfRule>
  </conditionalFormatting>
  <conditionalFormatting sqref="E4:O6 C4:C13 E8:O13">
    <cfRule type="containsErrors" dxfId="7" priority="4">
      <formula>ISERROR(C4)</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F621C-23D4-42FE-B72E-67594859EB3F}">
  <dimension ref="A1:Q24"/>
  <sheetViews>
    <sheetView workbookViewId="0">
      <selection activeCell="I24" sqref="I24"/>
    </sheetView>
  </sheetViews>
  <sheetFormatPr baseColWidth="10" defaultColWidth="8.83203125" defaultRowHeight="15" x14ac:dyDescent="0.2"/>
  <cols>
    <col min="1" max="1" width="23" style="37" customWidth="1"/>
    <col min="2" max="2" width="18.5" customWidth="1"/>
    <col min="3" max="4" width="15.83203125" customWidth="1"/>
    <col min="5" max="9" width="14.1640625" customWidth="1"/>
    <col min="10" max="10" width="17.5" customWidth="1"/>
    <col min="11" max="14" width="17.6640625" customWidth="1"/>
    <col min="15" max="16" width="18" customWidth="1"/>
    <col min="17" max="17" width="17.5" customWidth="1"/>
  </cols>
  <sheetData>
    <row r="1" spans="1:17" ht="20" x14ac:dyDescent="0.25">
      <c r="A1" s="50" t="s">
        <v>71</v>
      </c>
    </row>
    <row r="2" spans="1:17" ht="33" thickBot="1" x14ac:dyDescent="0.25">
      <c r="A2" s="49" t="s">
        <v>96</v>
      </c>
    </row>
    <row r="3" spans="1:17" ht="97" thickBot="1" x14ac:dyDescent="0.25">
      <c r="A3" s="103" t="s">
        <v>72</v>
      </c>
      <c r="B3" s="104" t="s">
        <v>73</v>
      </c>
      <c r="C3" s="104" t="s">
        <v>74</v>
      </c>
      <c r="D3" s="105" t="s">
        <v>75</v>
      </c>
      <c r="E3" s="106" t="s">
        <v>76</v>
      </c>
      <c r="F3" s="118" t="s">
        <v>78</v>
      </c>
      <c r="G3" s="119" t="s">
        <v>102</v>
      </c>
      <c r="H3" s="120" t="s">
        <v>98</v>
      </c>
      <c r="I3" s="121" t="s">
        <v>103</v>
      </c>
      <c r="J3" s="122" t="s">
        <v>99</v>
      </c>
      <c r="K3" s="123" t="s">
        <v>100</v>
      </c>
      <c r="L3" s="124" t="s">
        <v>101</v>
      </c>
      <c r="M3" s="125" t="s">
        <v>104</v>
      </c>
      <c r="N3" s="126" t="s">
        <v>105</v>
      </c>
      <c r="O3" s="127" t="s">
        <v>106</v>
      </c>
    </row>
    <row r="4" spans="1:17" ht="16" x14ac:dyDescent="0.2">
      <c r="A4" s="84" t="s">
        <v>79</v>
      </c>
      <c r="B4" s="66">
        <v>30</v>
      </c>
      <c r="C4" s="102" t="str">
        <f>'Resultaat - Budget'!E3</f>
        <v>-</v>
      </c>
      <c r="D4" s="85" t="e">
        <f>C4*0.75</f>
        <v>#VALUE!</v>
      </c>
      <c r="E4" s="86" t="e">
        <f>D4/B4</f>
        <v>#VALUE!</v>
      </c>
      <c r="F4" s="87">
        <f>(2*B4)+20</f>
        <v>80</v>
      </c>
      <c r="G4" s="86" t="e">
        <f>D4/F4</f>
        <v>#VALUE!</v>
      </c>
      <c r="H4" s="87">
        <f>(3*B4)+20</f>
        <v>110</v>
      </c>
      <c r="I4" s="86" t="e">
        <f>D4/H4</f>
        <v>#VALUE!</v>
      </c>
      <c r="J4" s="88">
        <f>(3*B4)+10</f>
        <v>100</v>
      </c>
      <c r="K4" s="86" t="e">
        <f>D4/J4</f>
        <v>#VALUE!</v>
      </c>
      <c r="L4" s="87">
        <f>(4*B4)+10</f>
        <v>130</v>
      </c>
      <c r="M4" s="86" t="e">
        <f>D4/L4</f>
        <v>#VALUE!</v>
      </c>
      <c r="N4" s="87" t="e">
        <f>E4/4</f>
        <v>#VALUE!</v>
      </c>
      <c r="O4" s="86" t="e">
        <f>E4/5</f>
        <v>#VALUE!</v>
      </c>
    </row>
    <row r="5" spans="1:17" ht="16" x14ac:dyDescent="0.2">
      <c r="A5" s="67" t="s">
        <v>80</v>
      </c>
      <c r="B5" s="38">
        <v>35</v>
      </c>
      <c r="C5" s="40" t="str">
        <f>'Resultaat - Budget'!E7</f>
        <v>-</v>
      </c>
      <c r="D5" s="39" t="e">
        <f>C5*0.87</f>
        <v>#VALUE!</v>
      </c>
      <c r="E5" s="61" t="e">
        <f>D5/B5</f>
        <v>#VALUE!</v>
      </c>
      <c r="F5" s="60">
        <f>(2*B5)+20</f>
        <v>90</v>
      </c>
      <c r="G5" s="61" t="e">
        <f>D5/F5</f>
        <v>#VALUE!</v>
      </c>
      <c r="H5" s="60">
        <f>(3*B5)+20</f>
        <v>125</v>
      </c>
      <c r="I5" s="61" t="e">
        <f>D5/H5</f>
        <v>#VALUE!</v>
      </c>
      <c r="J5" s="64">
        <f>(3*B5)+10</f>
        <v>115</v>
      </c>
      <c r="K5" s="61" t="e">
        <f>D5/J5</f>
        <v>#VALUE!</v>
      </c>
      <c r="L5" s="60">
        <f>(4*B5)+10</f>
        <v>150</v>
      </c>
      <c r="M5" s="61" t="e">
        <f>D5/L5</f>
        <v>#VALUE!</v>
      </c>
      <c r="N5" s="60" t="e">
        <f>E5/4</f>
        <v>#VALUE!</v>
      </c>
      <c r="O5" s="61" t="e">
        <f>E5/5</f>
        <v>#VALUE!</v>
      </c>
    </row>
    <row r="6" spans="1:17" ht="17" thickBot="1" x14ac:dyDescent="0.25">
      <c r="A6" s="77" t="s">
        <v>81</v>
      </c>
      <c r="B6" s="78">
        <v>32</v>
      </c>
      <c r="C6" s="79" t="e">
        <f>('Resultaat - Budget'!E4+'Resultaat - Budget'!E5+'Resultaat - Budget'!E11+'Resultaat - Budget'!E12+'Resultaat - Budget'!E13+'Resultaat - Budget'!E14)</f>
        <v>#VALUE!</v>
      </c>
      <c r="D6" s="80" t="e">
        <f>C6*0.93</f>
        <v>#VALUE!</v>
      </c>
      <c r="E6" s="81" t="e">
        <f>D6/B6</f>
        <v>#VALUE!</v>
      </c>
      <c r="F6" s="82">
        <f>(2*B6)+20</f>
        <v>84</v>
      </c>
      <c r="G6" s="81" t="e">
        <f>D6/F6</f>
        <v>#VALUE!</v>
      </c>
      <c r="H6" s="82">
        <f>(3*B6)+20</f>
        <v>116</v>
      </c>
      <c r="I6" s="81" t="e">
        <f>D6/H6</f>
        <v>#VALUE!</v>
      </c>
      <c r="J6" s="83">
        <f>(3*B6)+10</f>
        <v>106</v>
      </c>
      <c r="K6" s="81" t="e">
        <f>D6/J6</f>
        <v>#VALUE!</v>
      </c>
      <c r="L6" s="82">
        <f>(4*B6)+10</f>
        <v>138</v>
      </c>
      <c r="M6" s="81" t="e">
        <f xml:space="preserve"> D6/L6</f>
        <v>#VALUE!</v>
      </c>
      <c r="N6" s="82" t="e">
        <f>E6/4</f>
        <v>#VALUE!</v>
      </c>
      <c r="O6" s="81" t="e">
        <f>E6/5</f>
        <v>#VALUE!</v>
      </c>
    </row>
    <row r="7" spans="1:17" ht="33" thickBot="1" x14ac:dyDescent="0.25">
      <c r="A7" s="89" t="s">
        <v>82</v>
      </c>
      <c r="B7" s="90"/>
      <c r="C7" s="91" t="e">
        <f>SUM(C4:C6)</f>
        <v>#VALUE!</v>
      </c>
      <c r="D7" s="91" t="e">
        <f>SUM(D4:D6)</f>
        <v>#VALUE!</v>
      </c>
      <c r="E7" s="92"/>
      <c r="F7" s="93"/>
      <c r="G7" s="92" t="e">
        <f>SUM(G4:G6)</f>
        <v>#VALUE!</v>
      </c>
      <c r="H7" s="93"/>
      <c r="I7" s="92" t="e">
        <f>SUM(I4:I6)</f>
        <v>#VALUE!</v>
      </c>
      <c r="J7" s="94"/>
      <c r="K7" s="92" t="e">
        <f>SUM(K4:K6)</f>
        <v>#VALUE!</v>
      </c>
      <c r="L7" s="93"/>
      <c r="M7" s="92" t="e">
        <f>SUM(M4:M6)</f>
        <v>#VALUE!</v>
      </c>
      <c r="N7" s="93" t="e">
        <f>SUM(N4:N6)</f>
        <v>#VALUE!</v>
      </c>
      <c r="O7" s="92" t="e">
        <f>SUM(O4:O6)</f>
        <v>#VALUE!</v>
      </c>
    </row>
    <row r="8" spans="1:17" x14ac:dyDescent="0.2">
      <c r="A8" s="84"/>
      <c r="B8" s="66"/>
      <c r="C8" s="66"/>
      <c r="D8" s="85"/>
      <c r="E8" s="86"/>
      <c r="F8" s="87"/>
      <c r="G8" s="86"/>
      <c r="H8" s="87"/>
      <c r="I8" s="86"/>
      <c r="J8" s="88"/>
      <c r="K8" s="86"/>
      <c r="L8" s="87"/>
      <c r="M8" s="86"/>
      <c r="N8" s="87"/>
      <c r="O8" s="86"/>
    </row>
    <row r="9" spans="1:17" ht="16" x14ac:dyDescent="0.2">
      <c r="A9" s="69" t="s">
        <v>83</v>
      </c>
      <c r="B9" s="38"/>
      <c r="C9" s="38"/>
      <c r="D9" s="39"/>
      <c r="E9" s="61"/>
      <c r="F9" s="60"/>
      <c r="G9" s="61"/>
      <c r="H9" s="60"/>
      <c r="I9" s="61"/>
      <c r="J9" s="64"/>
      <c r="K9" s="61"/>
      <c r="L9" s="60"/>
      <c r="M9" s="61"/>
      <c r="N9" s="60"/>
      <c r="O9" s="61"/>
    </row>
    <row r="10" spans="1:17" ht="16" x14ac:dyDescent="0.2">
      <c r="A10" s="67" t="s">
        <v>31</v>
      </c>
      <c r="B10" s="38">
        <v>45</v>
      </c>
      <c r="C10" s="40" t="str">
        <f>'Resultaat - Budget'!E8</f>
        <v>-</v>
      </c>
      <c r="D10" s="39" t="e">
        <f>C10*0.63</f>
        <v>#VALUE!</v>
      </c>
      <c r="E10" s="61" t="e">
        <f t="shared" ref="E10:E13" si="0">D10/B10</f>
        <v>#VALUE!</v>
      </c>
      <c r="F10" s="60">
        <f>(2*B10)+16</f>
        <v>106</v>
      </c>
      <c r="G10" s="61" t="e">
        <f>D10/F10</f>
        <v>#VALUE!</v>
      </c>
      <c r="H10" s="60">
        <f>(3*B10)+16</f>
        <v>151</v>
      </c>
      <c r="I10" s="61" t="e">
        <f>D10/H10</f>
        <v>#VALUE!</v>
      </c>
      <c r="J10" s="64">
        <f>(3*B10)+8</f>
        <v>143</v>
      </c>
      <c r="K10" s="61" t="e">
        <f>D10/J10</f>
        <v>#VALUE!</v>
      </c>
      <c r="L10" s="60">
        <f>(4*B10)+8</f>
        <v>188</v>
      </c>
      <c r="M10" s="61" t="e">
        <f>D10/L10</f>
        <v>#VALUE!</v>
      </c>
      <c r="N10" s="60" t="e">
        <f>E10/4</f>
        <v>#VALUE!</v>
      </c>
      <c r="O10" s="61" t="e">
        <f>E10/5</f>
        <v>#VALUE!</v>
      </c>
    </row>
    <row r="11" spans="1:17" ht="16" x14ac:dyDescent="0.2">
      <c r="A11" s="67" t="s">
        <v>32</v>
      </c>
      <c r="B11" s="38">
        <v>35</v>
      </c>
      <c r="C11" s="40" t="str">
        <f>'Resultaat - Budget'!E9</f>
        <v>-</v>
      </c>
      <c r="D11" s="39" t="e">
        <f>C11*0.84</f>
        <v>#VALUE!</v>
      </c>
      <c r="E11" s="61" t="e">
        <f t="shared" si="0"/>
        <v>#VALUE!</v>
      </c>
      <c r="F11" s="60">
        <f>(2*B11)+16</f>
        <v>86</v>
      </c>
      <c r="G11" s="61" t="e">
        <f>D11/F11</f>
        <v>#VALUE!</v>
      </c>
      <c r="H11" s="60">
        <f>(3*B11)+16</f>
        <v>121</v>
      </c>
      <c r="I11" s="61" t="e">
        <f>D11/H11</f>
        <v>#VALUE!</v>
      </c>
      <c r="J11" s="64">
        <f>(3*B11)+8</f>
        <v>113</v>
      </c>
      <c r="K11" s="61" t="e">
        <f>D11/J11</f>
        <v>#VALUE!</v>
      </c>
      <c r="L11" s="60">
        <f>(4*B11)+8</f>
        <v>148</v>
      </c>
      <c r="M11" s="61" t="e">
        <f>D11/L11</f>
        <v>#VALUE!</v>
      </c>
      <c r="N11" s="60" t="e">
        <f>E11/4</f>
        <v>#VALUE!</v>
      </c>
      <c r="O11" s="61" t="e">
        <f>E11/5</f>
        <v>#VALUE!</v>
      </c>
    </row>
    <row r="12" spans="1:17" ht="16" x14ac:dyDescent="0.2">
      <c r="A12" s="67" t="s">
        <v>33</v>
      </c>
      <c r="B12" s="38">
        <v>30</v>
      </c>
      <c r="C12" s="40" t="str">
        <f>'Resultaat - Budget'!E10</f>
        <v>-</v>
      </c>
      <c r="D12" s="39" t="e">
        <f>C12*0.82</f>
        <v>#VALUE!</v>
      </c>
      <c r="E12" s="61" t="e">
        <f t="shared" si="0"/>
        <v>#VALUE!</v>
      </c>
      <c r="F12" s="60">
        <f>(2*B12)+16</f>
        <v>76</v>
      </c>
      <c r="G12" s="61" t="e">
        <f>D12/F12</f>
        <v>#VALUE!</v>
      </c>
      <c r="H12" s="60">
        <f>(3*B12)+16</f>
        <v>106</v>
      </c>
      <c r="I12" s="61" t="e">
        <f>D12/H12</f>
        <v>#VALUE!</v>
      </c>
      <c r="J12" s="64">
        <f>(3*B12)+8</f>
        <v>98</v>
      </c>
      <c r="K12" s="61" t="e">
        <f>D12/J12</f>
        <v>#VALUE!</v>
      </c>
      <c r="L12" s="60">
        <f>(4*B12)+8</f>
        <v>128</v>
      </c>
      <c r="M12" s="61" t="e">
        <f>D12/L12</f>
        <v>#VALUE!</v>
      </c>
      <c r="N12" s="60" t="e">
        <f>E12/4</f>
        <v>#VALUE!</v>
      </c>
      <c r="O12" s="61" t="e">
        <f>E12/5</f>
        <v>#VALUE!</v>
      </c>
    </row>
    <row r="13" spans="1:17" ht="17" thickBot="1" x14ac:dyDescent="0.25">
      <c r="A13" s="77" t="s">
        <v>84</v>
      </c>
      <c r="B13" s="78">
        <v>45</v>
      </c>
      <c r="C13" s="79" t="str">
        <f>'Resultaat - Budget'!E15</f>
        <v>-</v>
      </c>
      <c r="D13" s="80" t="e">
        <f>C13*0.88</f>
        <v>#VALUE!</v>
      </c>
      <c r="E13" s="81" t="e">
        <f t="shared" si="0"/>
        <v>#VALUE!</v>
      </c>
      <c r="F13" s="82">
        <f>(2*B13)+12</f>
        <v>102</v>
      </c>
      <c r="G13" s="81" t="e">
        <f>D13/F13</f>
        <v>#VALUE!</v>
      </c>
      <c r="H13" s="82">
        <f>(3*B13)+12</f>
        <v>147</v>
      </c>
      <c r="I13" s="81" t="e">
        <f>D13/H13</f>
        <v>#VALUE!</v>
      </c>
      <c r="J13" s="83">
        <f>(3*B13)+6</f>
        <v>141</v>
      </c>
      <c r="K13" s="81" t="e">
        <f>D13/J13</f>
        <v>#VALUE!</v>
      </c>
      <c r="L13" s="82">
        <f>(4*B13)+6</f>
        <v>186</v>
      </c>
      <c r="M13" s="81" t="e">
        <f>D13/L13</f>
        <v>#VALUE!</v>
      </c>
      <c r="N13" s="82" t="e">
        <f>E13/4</f>
        <v>#VALUE!</v>
      </c>
      <c r="O13" s="81" t="e">
        <f>E13/5</f>
        <v>#VALUE!</v>
      </c>
    </row>
    <row r="14" spans="1:17" s="36" customFormat="1" ht="17" thickBot="1" x14ac:dyDescent="0.25">
      <c r="A14" s="89" t="s">
        <v>85</v>
      </c>
      <c r="B14" s="95"/>
      <c r="C14" s="91">
        <f>SUM(C10:C13)</f>
        <v>0</v>
      </c>
      <c r="D14" s="91" t="e">
        <f>SUM(D10:D13)</f>
        <v>#VALUE!</v>
      </c>
      <c r="E14" s="92"/>
      <c r="F14" s="93"/>
      <c r="G14" s="92" t="e">
        <f>SUM(G10:G13)</f>
        <v>#VALUE!</v>
      </c>
      <c r="H14" s="93"/>
      <c r="I14" s="92" t="e">
        <f>SUM(I10:I13)</f>
        <v>#VALUE!</v>
      </c>
      <c r="J14" s="94"/>
      <c r="K14" s="92" t="e">
        <f>SUM(K10:K13)</f>
        <v>#VALUE!</v>
      </c>
      <c r="L14" s="93"/>
      <c r="M14" s="92" t="e">
        <f>SUM(M10:M13)</f>
        <v>#VALUE!</v>
      </c>
      <c r="N14" s="93" t="e">
        <f>SUM(N10:N13)</f>
        <v>#VALUE!</v>
      </c>
      <c r="O14" s="92" t="e">
        <f>SUM(O10:O13)</f>
        <v>#VALUE!</v>
      </c>
    </row>
    <row r="15" spans="1:17" ht="33" thickBot="1" x14ac:dyDescent="0.25">
      <c r="A15" s="70" t="s">
        <v>86</v>
      </c>
      <c r="B15" s="71"/>
      <c r="C15" s="72"/>
      <c r="D15" s="73" t="e">
        <f>D7+D14</f>
        <v>#VALUE!</v>
      </c>
      <c r="E15" s="74"/>
      <c r="F15" s="75"/>
      <c r="G15" s="74" t="e">
        <f>G7+G14</f>
        <v>#VALUE!</v>
      </c>
      <c r="H15" s="75"/>
      <c r="I15" s="74" t="e">
        <f>I7+I14</f>
        <v>#VALUE!</v>
      </c>
      <c r="J15" s="76"/>
      <c r="K15" s="74" t="e">
        <f>K7+K14</f>
        <v>#VALUE!</v>
      </c>
      <c r="L15" s="75"/>
      <c r="M15" s="74" t="e">
        <f>M7+M14</f>
        <v>#VALUE!</v>
      </c>
      <c r="N15" s="75" t="e">
        <f>N7+N14</f>
        <v>#VALUE!</v>
      </c>
      <c r="O15" s="74" t="e">
        <f>O7+O14</f>
        <v>#VALUE!</v>
      </c>
    </row>
    <row r="16" spans="1:17" ht="16" thickBot="1" x14ac:dyDescent="0.25">
      <c r="A16" s="107"/>
      <c r="B16" s="108"/>
      <c r="C16" s="109"/>
      <c r="D16" s="110"/>
      <c r="E16" s="111"/>
      <c r="F16" s="44"/>
      <c r="G16" s="44"/>
      <c r="H16" s="44"/>
      <c r="I16" s="44"/>
      <c r="J16" s="45"/>
      <c r="K16" s="44"/>
      <c r="L16" s="44"/>
      <c r="M16" s="44"/>
      <c r="N16" s="44"/>
      <c r="O16" s="44"/>
      <c r="P16" s="44"/>
      <c r="Q16" s="44"/>
    </row>
    <row r="17" spans="1:11" ht="49" thickBot="1" x14ac:dyDescent="0.25">
      <c r="A17" s="116"/>
      <c r="B17" s="117" t="s">
        <v>87</v>
      </c>
      <c r="C17" s="104" t="s">
        <v>74</v>
      </c>
      <c r="D17" s="105" t="s">
        <v>75</v>
      </c>
      <c r="E17" s="106" t="s">
        <v>88</v>
      </c>
      <c r="F17" s="49"/>
      <c r="G17" s="49"/>
      <c r="H17" s="49"/>
      <c r="I17" s="49"/>
    </row>
    <row r="18" spans="1:11" ht="17" thickBot="1" x14ac:dyDescent="0.25">
      <c r="A18" s="112" t="s">
        <v>89</v>
      </c>
      <c r="B18" s="113">
        <v>20</v>
      </c>
      <c r="C18" s="114" t="str">
        <f>'Resultaat - Budget'!E6</f>
        <v>-</v>
      </c>
      <c r="D18" s="85" t="e">
        <f>C18*0.5</f>
        <v>#VALUE!</v>
      </c>
      <c r="E18" s="115"/>
      <c r="F18" s="48"/>
      <c r="G18" s="48"/>
      <c r="H18" s="48"/>
      <c r="I18" s="48"/>
    </row>
    <row r="19" spans="1:11" ht="17" thickBot="1" x14ac:dyDescent="0.25">
      <c r="A19" s="98" t="s">
        <v>93</v>
      </c>
      <c r="B19" s="99"/>
      <c r="C19" s="100">
        <f>SUM(C18)</f>
        <v>0</v>
      </c>
      <c r="D19" s="91" t="e">
        <f>SUM(D18)</f>
        <v>#VALUE!</v>
      </c>
      <c r="E19" s="101"/>
      <c r="F19" s="48"/>
      <c r="G19" s="48"/>
      <c r="H19" s="48"/>
      <c r="I19" s="48"/>
    </row>
    <row r="20" spans="1:11" ht="25.5" customHeight="1" thickBot="1" x14ac:dyDescent="0.25">
      <c r="A20" s="70" t="s">
        <v>94</v>
      </c>
      <c r="B20" s="96"/>
      <c r="C20" s="73" t="e">
        <f>SUM(C7+C14+C19)</f>
        <v>#VALUE!</v>
      </c>
      <c r="D20" s="73" t="e">
        <f>SUM(D7+D14+D19)</f>
        <v>#VALUE!</v>
      </c>
      <c r="E20" s="97"/>
      <c r="F20" s="48"/>
      <c r="G20" s="48"/>
      <c r="H20" s="48"/>
      <c r="I20" s="48"/>
    </row>
    <row r="21" spans="1:11" ht="15" customHeight="1" x14ac:dyDescent="0.2">
      <c r="A21" s="46" t="s">
        <v>90</v>
      </c>
    </row>
    <row r="22" spans="1:11" ht="16" x14ac:dyDescent="0.2">
      <c r="A22" s="37" t="s">
        <v>91</v>
      </c>
    </row>
    <row r="23" spans="1:11" x14ac:dyDescent="0.2">
      <c r="A23" s="47">
        <v>20240730</v>
      </c>
    </row>
    <row r="24" spans="1:11" x14ac:dyDescent="0.2">
      <c r="K24" t="s">
        <v>92</v>
      </c>
    </row>
  </sheetData>
  <conditionalFormatting sqref="C4:C6 E4:O6 C8:C13 E8:O13">
    <cfRule type="containsErrors" dxfId="6" priority="4">
      <formula>ISERROR(C4)</formula>
    </cfRule>
  </conditionalFormatting>
  <conditionalFormatting sqref="C20:D20">
    <cfRule type="containsErrors" dxfId="5" priority="1">
      <formula>ISERROR(C20)</formula>
    </cfRule>
  </conditionalFormatting>
  <conditionalFormatting sqref="C7:O7 D14:O14">
    <cfRule type="containsErrors" dxfId="4" priority="6">
      <formula>ISERROR(C7)</formula>
    </cfRule>
  </conditionalFormatting>
  <conditionalFormatting sqref="D4:D6 D8:D13">
    <cfRule type="containsErrors" dxfId="3" priority="7">
      <formula>ISERROR(D4)</formula>
    </cfRule>
  </conditionalFormatting>
  <conditionalFormatting sqref="D18">
    <cfRule type="containsErrors" dxfId="2" priority="3">
      <formula>ISERROR(D18)</formula>
    </cfRule>
  </conditionalFormatting>
  <conditionalFormatting sqref="D19">
    <cfRule type="containsErrors" dxfId="1" priority="2">
      <formula>ISERROR(D19)</formula>
    </cfRule>
  </conditionalFormatting>
  <conditionalFormatting sqref="D15:O15">
    <cfRule type="containsErrors" dxfId="0" priority="5">
      <formula>ISERROR(D15)</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9F11D-D4AB-474E-9C2C-F8544978D838}">
  <dimension ref="A3:B7"/>
  <sheetViews>
    <sheetView workbookViewId="0">
      <selection activeCell="B12" sqref="B12"/>
    </sheetView>
  </sheetViews>
  <sheetFormatPr baseColWidth="10" defaultColWidth="11.5" defaultRowHeight="15" x14ac:dyDescent="0.2"/>
  <cols>
    <col min="1" max="1" width="4.33203125" customWidth="1"/>
    <col min="2" max="2" width="62.33203125" customWidth="1"/>
  </cols>
  <sheetData>
    <row r="3" spans="1:2" x14ac:dyDescent="0.2">
      <c r="A3" s="36" t="s">
        <v>30</v>
      </c>
      <c r="B3" s="4" t="s">
        <v>5</v>
      </c>
    </row>
    <row r="4" spans="1:2" x14ac:dyDescent="0.2">
      <c r="A4" s="36" t="s">
        <v>31</v>
      </c>
      <c r="B4" s="4" t="s">
        <v>6</v>
      </c>
    </row>
    <row r="5" spans="1:2" x14ac:dyDescent="0.2">
      <c r="A5" s="36" t="s">
        <v>32</v>
      </c>
      <c r="B5" s="4" t="s">
        <v>7</v>
      </c>
    </row>
    <row r="6" spans="1:2" x14ac:dyDescent="0.2">
      <c r="A6" s="36" t="s">
        <v>33</v>
      </c>
      <c r="B6" s="4" t="s">
        <v>8</v>
      </c>
    </row>
    <row r="7" spans="1:2" x14ac:dyDescent="0.2">
      <c r="A7" s="36" t="s">
        <v>34</v>
      </c>
      <c r="B7" s="4" t="s">
        <v>69</v>
      </c>
    </row>
  </sheetData>
  <sheetProtection selectLockedCell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98ed965f-3e4e-464b-8b23-c16f28d7aa06">
      <UserInfo>
        <DisplayName>Kathinka de Klerk</DisplayName>
        <AccountId>28</AccountId>
        <AccountType/>
      </UserInfo>
      <UserInfo>
        <DisplayName>Caroline Heijer</DisplayName>
        <AccountId>33</AccountId>
        <AccountType/>
      </UserInfo>
      <UserInfo>
        <DisplayName>Collectie advies</DisplayName>
        <AccountId>37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EEBFF2E65FD9A42AAAF261334267234" ma:contentTypeVersion="12" ma:contentTypeDescription="Een nieuw document maken." ma:contentTypeScope="" ma:versionID="7c8a296d0ef7947b68442023fbf859ec">
  <xsd:schema xmlns:xsd="http://www.w3.org/2001/XMLSchema" xmlns:xs="http://www.w3.org/2001/XMLSchema" xmlns:p="http://schemas.microsoft.com/office/2006/metadata/properties" xmlns:ns2="2f0556cf-597a-4c28-ba56-698c24fa2b27" xmlns:ns3="98ed965f-3e4e-464b-8b23-c16f28d7aa06" targetNamespace="http://schemas.microsoft.com/office/2006/metadata/properties" ma:root="true" ma:fieldsID="64aa39d758fcada437a8dbb938bf624d" ns2:_="" ns3:_="">
    <xsd:import namespace="2f0556cf-597a-4c28-ba56-698c24fa2b27"/>
    <xsd:import namespace="98ed965f-3e4e-464b-8b23-c16f28d7aa06"/>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0556cf-597a-4c28-ba56-698c24fa2b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8ed965f-3e4e-464b-8b23-c16f28d7aa06" elementFormDefault="qualified">
    <xsd:import namespace="http://schemas.microsoft.com/office/2006/documentManagement/types"/>
    <xsd:import namespace="http://schemas.microsoft.com/office/infopath/2007/PartnerControls"/>
    <xsd:element name="SharedWithUsers" ma:index="11"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FB1B0CE-24F9-416E-B541-F1BE3B5DC120}">
  <ds:schemaRefs>
    <ds:schemaRef ds:uri="http://schemas.microsoft.com/sharepoint/v3/contenttype/forms"/>
  </ds:schemaRefs>
</ds:datastoreItem>
</file>

<file path=customXml/itemProps2.xml><?xml version="1.0" encoding="utf-8"?>
<ds:datastoreItem xmlns:ds="http://schemas.openxmlformats.org/officeDocument/2006/customXml" ds:itemID="{5A0556AD-5618-4E76-88CC-4A8BCF8E1EF7}">
  <ds:schemaRefs>
    <ds:schemaRef ds:uri="http://purl.org/dc/terms/"/>
    <ds:schemaRef ds:uri="2f0556cf-597a-4c28-ba56-698c24fa2b27"/>
    <ds:schemaRef ds:uri="http://schemas.microsoft.com/office/infopath/2007/PartnerControls"/>
    <ds:schemaRef ds:uri="98ed965f-3e4e-464b-8b23-c16f28d7aa06"/>
    <ds:schemaRef ds:uri="http://www.w3.org/XML/1998/namespace"/>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6F397BE8-2D25-4FBB-9943-7C7EB83F79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0556cf-597a-4c28-ba56-698c24fa2b27"/>
    <ds:schemaRef ds:uri="98ed965f-3e4e-464b-8b23-c16f28d7aa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7</vt:i4>
      </vt:variant>
    </vt:vector>
  </HeadingPairs>
  <TitlesOfParts>
    <vt:vector size="7" baseType="lpstr">
      <vt:lpstr>Uitleg </vt:lpstr>
      <vt:lpstr>Input</vt:lpstr>
      <vt:lpstr>Resultaat - Omvang collectie</vt:lpstr>
      <vt:lpstr>Resultaat - Budget</vt:lpstr>
      <vt:lpstr>Resultaat - Kastenplan Banden</vt:lpstr>
      <vt:lpstr>Resulaat - Kastenplan Budget</vt:lpstr>
      <vt:lpstr>gegevens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Chantal Grove</dc:creator>
  <cp:keywords/>
  <dc:description/>
  <cp:lastModifiedBy> </cp:lastModifiedBy>
  <cp:revision/>
  <dcterms:created xsi:type="dcterms:W3CDTF">2020-09-14T07:54:21Z</dcterms:created>
  <dcterms:modified xsi:type="dcterms:W3CDTF">2024-11-25T14:15:01Z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0x0101002EEBFF2E65FD9A42AAAF261334267234</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ies>
</file>